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bookViews>
    <workbookView xWindow="0" yWindow="0" windowWidth="26055" windowHeight="12270" tabRatio="935"/>
  </bookViews>
  <sheets>
    <sheet name="VO01" sheetId="17" r:id="rId1"/>
    <sheet name="VO02" sheetId="18" r:id="rId2"/>
    <sheet name="Materialien" sheetId="1" r:id="rId3"/>
    <sheet name="Bemerkungen" sheetId="4" r:id="rId4"/>
  </sheets>
  <definedNames>
    <definedName name="_xlnm._FilterDatabase" localSheetId="2" hidden="1">Materialien!$A$1:$G$66</definedName>
    <definedName name="A1000_" localSheetId="0">'VO01'!$F$208:$F$212</definedName>
    <definedName name="A1000_" localSheetId="1">'VO02'!$F$208:$F$212</definedName>
    <definedName name="A125_" localSheetId="0">'VO01'!$C$208:$C$212</definedName>
    <definedName name="A125_" localSheetId="1">'VO02'!$C$208:$C$212</definedName>
    <definedName name="A2000_" localSheetId="0">'VO01'!$G$208:$G$212</definedName>
    <definedName name="A2000_" localSheetId="1">'VO02'!$G$208:$G$212</definedName>
    <definedName name="A250_" localSheetId="0">'VO01'!$D$208:$D$212</definedName>
    <definedName name="A250_" localSheetId="1">'VO02'!$D$208:$D$212</definedName>
    <definedName name="A4000_" localSheetId="0">'VO01'!$H$208:$H$212</definedName>
    <definedName name="A4000_" localSheetId="1">'VO02'!$H$208:$H$212</definedName>
    <definedName name="A500_" localSheetId="0">'VO01'!$E$208:$E$212</definedName>
    <definedName name="A500_" localSheetId="1">'VO02'!$E$208:$E$212</definedName>
    <definedName name="b" localSheetId="0">'VO01'!$C$5</definedName>
    <definedName name="b" localSheetId="1">'VO02'!$C$5</definedName>
    <definedName name="B1000_" localSheetId="0">'VO01'!$M$208:$M$212</definedName>
    <definedName name="B1000_" localSheetId="1">'VO02'!$M$208:$M$212</definedName>
    <definedName name="B125_" localSheetId="0">'VO01'!$J$208:$J$212</definedName>
    <definedName name="B125_" localSheetId="1">'VO02'!$J$208:$J$212</definedName>
    <definedName name="B2000_" localSheetId="0">'VO01'!$N$208:$N$212</definedName>
    <definedName name="B2000_" localSheetId="1">'VO02'!$N$208:$N$212</definedName>
    <definedName name="B250_" localSheetId="0">'VO01'!$K$208:$K$212</definedName>
    <definedName name="B250_" localSheetId="1">'VO02'!$K$208:$K$212</definedName>
    <definedName name="B4000_" localSheetId="0">'VO01'!$O$208:$O$212</definedName>
    <definedName name="B4000_" localSheetId="1">'VO02'!$O$208:$O$212</definedName>
    <definedName name="B500_" localSheetId="0">'VO01'!$L$208:$L$212</definedName>
    <definedName name="B500_" localSheetId="1">'VO02'!$L$208:$L$212</definedName>
    <definedName name="_xlnm.Print_Area" localSheetId="0">'VO01'!$A$1:$H$176</definedName>
    <definedName name="_xlnm.Print_Area" localSheetId="1">'VO02'!$A$1:$H$176</definedName>
    <definedName name="_xlnm.Print_Titles" localSheetId="0">'VO01'!$1:$10</definedName>
    <definedName name="_xlnm.Print_Titles" localSheetId="1">'VO02'!$1:$10</definedName>
    <definedName name="h" localSheetId="0">'VO01'!$D$5</definedName>
    <definedName name="h" localSheetId="1">'VO02'!$D$5</definedName>
    <definedName name="l" localSheetId="0">'VO01'!$B$5</definedName>
    <definedName name="l" localSheetId="1">'VO02'!$B$5</definedName>
    <definedName name="Material">OFFSET(Materialien!$A$1,,,COUNTA(Materialien!$A:$A),COUNTA(Materialien!$1:$1))</definedName>
    <definedName name="Nutzungsart" localSheetId="0">'VO01'!$A$5</definedName>
    <definedName name="Nutzungsart" localSheetId="1">'VO02'!$A$5</definedName>
    <definedName name="Nutzungsart">#REF!</definedName>
    <definedName name="Nutzungsarten" localSheetId="0">'VO01'!$A$208:$P$218</definedName>
    <definedName name="Nutzungsarten" localSheetId="1">'VO02'!$A$208:$P$218</definedName>
    <definedName name="Nutzungsarten">#REF!</definedName>
    <definedName name="Sollwert" localSheetId="0">'VO01'!$B1048503:$B$65523</definedName>
    <definedName name="Sollwert" localSheetId="1">'VO02'!$B1048503:$B$65523</definedName>
    <definedName name="SollwertAV" localSheetId="1">'VO02'!$P:$P</definedName>
    <definedName name="SollwertAV">'VO01'!$P:$P</definedName>
    <definedName name="Stotal" localSheetId="0">'VO01'!$H$5</definedName>
    <definedName name="Stotal" localSheetId="1">'VO02'!$H$5</definedName>
    <definedName name="ToleranzA1000Hz" localSheetId="0">'VO01'!$F$2:$F$65529</definedName>
    <definedName name="ToleranzA1000Hz" localSheetId="1">'VO02'!$F$2:$F$65529</definedName>
    <definedName name="V" localSheetId="0">'VO01'!$F$5</definedName>
    <definedName name="V" localSheetId="1">'VO02'!$F$5</definedName>
  </definedNames>
  <calcPr calcId="152511"/>
</workbook>
</file>

<file path=xl/calcChain.xml><?xml version="1.0" encoding="utf-8"?>
<calcChain xmlns="http://schemas.openxmlformats.org/spreadsheetml/2006/main">
  <c r="B48" i="18" l="1"/>
  <c r="B20" i="18"/>
  <c r="B19" i="18"/>
  <c r="P218" i="18"/>
  <c r="P211" i="18" s="1"/>
  <c r="P217" i="18"/>
  <c r="P210" i="18" s="1"/>
  <c r="B7" i="18" s="1"/>
  <c r="P216" i="18"/>
  <c r="P209" i="18" s="1"/>
  <c r="P215" i="18"/>
  <c r="P212" i="18" s="1"/>
  <c r="N75" i="18"/>
  <c r="H75" i="18"/>
  <c r="O75" i="18" s="1"/>
  <c r="G75" i="18"/>
  <c r="F75" i="18"/>
  <c r="M75" i="18" s="1"/>
  <c r="E75" i="18"/>
  <c r="L75" i="18" s="1"/>
  <c r="D75" i="18"/>
  <c r="K75" i="18" s="1"/>
  <c r="C75" i="18"/>
  <c r="J75" i="18" s="1"/>
  <c r="H74" i="18"/>
  <c r="O74" i="18" s="1"/>
  <c r="G74" i="18"/>
  <c r="N74" i="18" s="1"/>
  <c r="F74" i="18"/>
  <c r="M74" i="18" s="1"/>
  <c r="E74" i="18"/>
  <c r="L74" i="18" s="1"/>
  <c r="D74" i="18"/>
  <c r="K74" i="18" s="1"/>
  <c r="C74" i="18"/>
  <c r="J74" i="18" s="1"/>
  <c r="H68" i="18"/>
  <c r="O68" i="18" s="1"/>
  <c r="G68" i="18"/>
  <c r="N68" i="18" s="1"/>
  <c r="F68" i="18"/>
  <c r="M68" i="18" s="1"/>
  <c r="E68" i="18"/>
  <c r="L68" i="18" s="1"/>
  <c r="D68" i="18"/>
  <c r="K68" i="18" s="1"/>
  <c r="C68" i="18"/>
  <c r="J68" i="18" s="1"/>
  <c r="H67" i="18"/>
  <c r="O67" i="18" s="1"/>
  <c r="G67" i="18"/>
  <c r="N67" i="18" s="1"/>
  <c r="F67" i="18"/>
  <c r="M67" i="18" s="1"/>
  <c r="E67" i="18"/>
  <c r="L67" i="18" s="1"/>
  <c r="D67" i="18"/>
  <c r="K67" i="18" s="1"/>
  <c r="C67" i="18"/>
  <c r="J67" i="18" s="1"/>
  <c r="H66" i="18"/>
  <c r="O66" i="18" s="1"/>
  <c r="G66" i="18"/>
  <c r="N66" i="18" s="1"/>
  <c r="F66" i="18"/>
  <c r="M66" i="18" s="1"/>
  <c r="E66" i="18"/>
  <c r="L66" i="18" s="1"/>
  <c r="D66" i="18"/>
  <c r="K66" i="18" s="1"/>
  <c r="C66" i="18"/>
  <c r="J66" i="18" s="1"/>
  <c r="N60" i="18"/>
  <c r="H60" i="18"/>
  <c r="O60" i="18" s="1"/>
  <c r="G60" i="18"/>
  <c r="F60" i="18"/>
  <c r="M60" i="18" s="1"/>
  <c r="E60" i="18"/>
  <c r="L60" i="18" s="1"/>
  <c r="D60" i="18"/>
  <c r="K60" i="18" s="1"/>
  <c r="C60" i="18"/>
  <c r="J60" i="18" s="1"/>
  <c r="M59" i="18"/>
  <c r="H59" i="18"/>
  <c r="O59" i="18" s="1"/>
  <c r="G59" i="18"/>
  <c r="N59" i="18" s="1"/>
  <c r="F59" i="18"/>
  <c r="E59" i="18"/>
  <c r="L59" i="18" s="1"/>
  <c r="D59" i="18"/>
  <c r="K59" i="18" s="1"/>
  <c r="C59" i="18"/>
  <c r="J59" i="18" s="1"/>
  <c r="N58" i="18"/>
  <c r="H58" i="18"/>
  <c r="O58" i="18" s="1"/>
  <c r="G58" i="18"/>
  <c r="F58" i="18"/>
  <c r="M58" i="18" s="1"/>
  <c r="E58" i="18"/>
  <c r="L58" i="18" s="1"/>
  <c r="D58" i="18"/>
  <c r="K58" i="18" s="1"/>
  <c r="C58" i="18"/>
  <c r="J58" i="18" s="1"/>
  <c r="M57" i="18"/>
  <c r="H57" i="18"/>
  <c r="O57" i="18" s="1"/>
  <c r="G57" i="18"/>
  <c r="N57" i="18" s="1"/>
  <c r="F57" i="18"/>
  <c r="E57" i="18"/>
  <c r="L57" i="18" s="1"/>
  <c r="D57" i="18"/>
  <c r="K57" i="18" s="1"/>
  <c r="C57" i="18"/>
  <c r="J57" i="18" s="1"/>
  <c r="N56" i="18"/>
  <c r="H56" i="18"/>
  <c r="O56" i="18" s="1"/>
  <c r="G56" i="18"/>
  <c r="F56" i="18"/>
  <c r="M56" i="18" s="1"/>
  <c r="E56" i="18"/>
  <c r="L56" i="18" s="1"/>
  <c r="D56" i="18"/>
  <c r="K56" i="18" s="1"/>
  <c r="C56" i="18"/>
  <c r="J56" i="18" s="1"/>
  <c r="M55" i="18"/>
  <c r="H55" i="18"/>
  <c r="O55" i="18" s="1"/>
  <c r="G55" i="18"/>
  <c r="N55" i="18" s="1"/>
  <c r="F55" i="18"/>
  <c r="E55" i="18"/>
  <c r="L55" i="18" s="1"/>
  <c r="D55" i="18"/>
  <c r="K55" i="18" s="1"/>
  <c r="C55" i="18"/>
  <c r="J55" i="18" s="1"/>
  <c r="N54" i="18"/>
  <c r="H54" i="18"/>
  <c r="O54" i="18" s="1"/>
  <c r="G54" i="18"/>
  <c r="F54" i="18"/>
  <c r="M54" i="18" s="1"/>
  <c r="E54" i="18"/>
  <c r="L54" i="18" s="1"/>
  <c r="D54" i="18"/>
  <c r="K54" i="18" s="1"/>
  <c r="C54" i="18"/>
  <c r="J54" i="18" s="1"/>
  <c r="H53" i="18"/>
  <c r="O53" i="18" s="1"/>
  <c r="G53" i="18"/>
  <c r="F53" i="18"/>
  <c r="E53" i="18"/>
  <c r="D53" i="18"/>
  <c r="C53" i="18"/>
  <c r="J53" i="18" s="1"/>
  <c r="H52" i="18"/>
  <c r="O52" i="18" s="1"/>
  <c r="G52" i="18"/>
  <c r="N52" i="18" s="1"/>
  <c r="F52" i="18"/>
  <c r="E52" i="18"/>
  <c r="D52" i="18"/>
  <c r="C52" i="18"/>
  <c r="H51" i="18"/>
  <c r="G51" i="18"/>
  <c r="N51" i="18" s="1"/>
  <c r="F51" i="18"/>
  <c r="M51" i="18" s="1"/>
  <c r="E51" i="18"/>
  <c r="D51" i="18"/>
  <c r="C51" i="18"/>
  <c r="J51" i="18" s="1"/>
  <c r="H50" i="18"/>
  <c r="O50" i="18" s="1"/>
  <c r="G50" i="18"/>
  <c r="N50" i="18" s="1"/>
  <c r="F50" i="18"/>
  <c r="M50" i="18" s="1"/>
  <c r="E50" i="18"/>
  <c r="L50" i="18" s="1"/>
  <c r="D50" i="18"/>
  <c r="C50" i="18"/>
  <c r="H49" i="18"/>
  <c r="G49" i="18"/>
  <c r="N49" i="18" s="1"/>
  <c r="F49" i="18"/>
  <c r="M49" i="18" s="1"/>
  <c r="E49" i="18"/>
  <c r="L49" i="18" s="1"/>
  <c r="D49" i="18"/>
  <c r="K49" i="18" s="1"/>
  <c r="C49" i="18"/>
  <c r="H48" i="18"/>
  <c r="O48" i="18" s="1"/>
  <c r="G48" i="18"/>
  <c r="F48" i="18"/>
  <c r="M48" i="18" s="1"/>
  <c r="E48" i="18"/>
  <c r="L48" i="18" s="1"/>
  <c r="D48" i="18"/>
  <c r="C48" i="18"/>
  <c r="H42" i="18"/>
  <c r="O42" i="18" s="1"/>
  <c r="G42" i="18"/>
  <c r="N42" i="18" s="1"/>
  <c r="F42" i="18"/>
  <c r="M42" i="18" s="1"/>
  <c r="E42" i="18"/>
  <c r="L42" i="18" s="1"/>
  <c r="D42" i="18"/>
  <c r="K42" i="18" s="1"/>
  <c r="C42" i="18"/>
  <c r="J42" i="18" s="1"/>
  <c r="H41" i="18"/>
  <c r="O41" i="18" s="1"/>
  <c r="G41" i="18"/>
  <c r="N41" i="18" s="1"/>
  <c r="F41" i="18"/>
  <c r="M41" i="18" s="1"/>
  <c r="E41" i="18"/>
  <c r="L41" i="18" s="1"/>
  <c r="D41" i="18"/>
  <c r="K41" i="18" s="1"/>
  <c r="C41" i="18"/>
  <c r="J41" i="18" s="1"/>
  <c r="H40" i="18"/>
  <c r="O40" i="18" s="1"/>
  <c r="G40" i="18"/>
  <c r="N40" i="18" s="1"/>
  <c r="F40" i="18"/>
  <c r="M40" i="18" s="1"/>
  <c r="E40" i="18"/>
  <c r="L40" i="18" s="1"/>
  <c r="D40" i="18"/>
  <c r="K40" i="18" s="1"/>
  <c r="C40" i="18"/>
  <c r="J40" i="18" s="1"/>
  <c r="M39" i="18"/>
  <c r="H39" i="18"/>
  <c r="O39" i="18" s="1"/>
  <c r="G39" i="18"/>
  <c r="N39" i="18" s="1"/>
  <c r="F39" i="18"/>
  <c r="E39" i="18"/>
  <c r="L39" i="18" s="1"/>
  <c r="D39" i="18"/>
  <c r="K39" i="18" s="1"/>
  <c r="C39" i="18"/>
  <c r="J39" i="18" s="1"/>
  <c r="H38" i="18"/>
  <c r="O38" i="18" s="1"/>
  <c r="G38" i="18"/>
  <c r="N38" i="18" s="1"/>
  <c r="F38" i="18"/>
  <c r="M38" i="18" s="1"/>
  <c r="E38" i="18"/>
  <c r="L38" i="18" s="1"/>
  <c r="D38" i="18"/>
  <c r="K38" i="18" s="1"/>
  <c r="C38" i="18"/>
  <c r="J38" i="18" s="1"/>
  <c r="H37" i="18"/>
  <c r="O37" i="18" s="1"/>
  <c r="G37" i="18"/>
  <c r="N37" i="18" s="1"/>
  <c r="F37" i="18"/>
  <c r="M37" i="18" s="1"/>
  <c r="E37" i="18"/>
  <c r="L37" i="18" s="1"/>
  <c r="D37" i="18"/>
  <c r="K37" i="18" s="1"/>
  <c r="C37" i="18"/>
  <c r="J37" i="18" s="1"/>
  <c r="H36" i="18"/>
  <c r="O36" i="18" s="1"/>
  <c r="G36" i="18"/>
  <c r="N36" i="18" s="1"/>
  <c r="F36" i="18"/>
  <c r="M36" i="18" s="1"/>
  <c r="E36" i="18"/>
  <c r="L36" i="18" s="1"/>
  <c r="D36" i="18"/>
  <c r="K36" i="18" s="1"/>
  <c r="C36" i="18"/>
  <c r="J36" i="18" s="1"/>
  <c r="J29" i="18"/>
  <c r="H29" i="18"/>
  <c r="O29" i="18" s="1"/>
  <c r="G29" i="18"/>
  <c r="N29" i="18" s="1"/>
  <c r="F29" i="18"/>
  <c r="M29" i="18" s="1"/>
  <c r="E29" i="18"/>
  <c r="L29" i="18" s="1"/>
  <c r="D29" i="18"/>
  <c r="K29" i="18" s="1"/>
  <c r="C29" i="18"/>
  <c r="N28" i="18"/>
  <c r="K28" i="18"/>
  <c r="J28" i="18"/>
  <c r="H28" i="18"/>
  <c r="O28" i="18" s="1"/>
  <c r="G28" i="18"/>
  <c r="F28" i="18"/>
  <c r="M28" i="18" s="1"/>
  <c r="E28" i="18"/>
  <c r="L28" i="18" s="1"/>
  <c r="D28" i="18"/>
  <c r="C28" i="18"/>
  <c r="O27" i="18"/>
  <c r="N27" i="18"/>
  <c r="K27" i="18"/>
  <c r="H27" i="18"/>
  <c r="G27" i="18"/>
  <c r="F27" i="18"/>
  <c r="M27" i="18" s="1"/>
  <c r="E27" i="18"/>
  <c r="L27" i="18" s="1"/>
  <c r="D27" i="18"/>
  <c r="C27" i="18"/>
  <c r="J27" i="18" s="1"/>
  <c r="H26" i="18"/>
  <c r="G26" i="18"/>
  <c r="F26" i="18"/>
  <c r="E26" i="18"/>
  <c r="D26" i="18"/>
  <c r="C26" i="18"/>
  <c r="B25" i="18"/>
  <c r="B26" i="18" s="1"/>
  <c r="N23" i="18"/>
  <c r="M23" i="18"/>
  <c r="H23" i="18"/>
  <c r="O23" i="18" s="1"/>
  <c r="G23" i="18"/>
  <c r="F23" i="18"/>
  <c r="E23" i="18"/>
  <c r="L23" i="18" s="1"/>
  <c r="D23" i="18"/>
  <c r="K23" i="18" s="1"/>
  <c r="C23" i="18"/>
  <c r="J23" i="18" s="1"/>
  <c r="H22" i="18"/>
  <c r="G22" i="18"/>
  <c r="F22" i="18"/>
  <c r="E22" i="18"/>
  <c r="D22" i="18"/>
  <c r="C22" i="18"/>
  <c r="B22" i="18"/>
  <c r="H21" i="18"/>
  <c r="O21" i="18" s="1"/>
  <c r="G21" i="18"/>
  <c r="N21" i="18" s="1"/>
  <c r="F21" i="18"/>
  <c r="M21" i="18" s="1"/>
  <c r="E21" i="18"/>
  <c r="L21" i="18" s="1"/>
  <c r="D21" i="18"/>
  <c r="K21" i="18" s="1"/>
  <c r="C21" i="18"/>
  <c r="J21" i="18" s="1"/>
  <c r="H20" i="18"/>
  <c r="O20" i="18" s="1"/>
  <c r="G20" i="18"/>
  <c r="N20" i="18" s="1"/>
  <c r="F20" i="18"/>
  <c r="M20" i="18" s="1"/>
  <c r="E20" i="18"/>
  <c r="L20" i="18" s="1"/>
  <c r="D20" i="18"/>
  <c r="K20" i="18" s="1"/>
  <c r="C20" i="18"/>
  <c r="J20" i="18" s="1"/>
  <c r="H19" i="18"/>
  <c r="O19" i="18" s="1"/>
  <c r="G19" i="18"/>
  <c r="F19" i="18"/>
  <c r="M19" i="18" s="1"/>
  <c r="E19" i="18"/>
  <c r="L19" i="18" s="1"/>
  <c r="D19" i="18"/>
  <c r="C19" i="18"/>
  <c r="H18" i="18"/>
  <c r="G18" i="18"/>
  <c r="F18" i="18"/>
  <c r="E18" i="18"/>
  <c r="D18" i="18"/>
  <c r="C18" i="18"/>
  <c r="B17" i="18"/>
  <c r="O15" i="18"/>
  <c r="H15" i="18"/>
  <c r="G15" i="18"/>
  <c r="N15" i="18" s="1"/>
  <c r="F15" i="18"/>
  <c r="M15" i="18" s="1"/>
  <c r="E15" i="18"/>
  <c r="L15" i="18" s="1"/>
  <c r="D15" i="18"/>
  <c r="K15" i="18" s="1"/>
  <c r="C15" i="18"/>
  <c r="J15" i="18" s="1"/>
  <c r="H14" i="18"/>
  <c r="O14" i="18" s="1"/>
  <c r="G14" i="18"/>
  <c r="N14" i="18" s="1"/>
  <c r="F14" i="18"/>
  <c r="M14" i="18" s="1"/>
  <c r="E14" i="18"/>
  <c r="L14" i="18" s="1"/>
  <c r="D14" i="18"/>
  <c r="K14" i="18" s="1"/>
  <c r="C14" i="18"/>
  <c r="J14" i="18" s="1"/>
  <c r="H13" i="18"/>
  <c r="G13" i="18"/>
  <c r="F13" i="18"/>
  <c r="E13" i="18"/>
  <c r="L13" i="18" s="1"/>
  <c r="D13" i="18"/>
  <c r="K13" i="18" s="1"/>
  <c r="C13" i="18"/>
  <c r="B12" i="18"/>
  <c r="B13" i="18" s="1"/>
  <c r="H5" i="18"/>
  <c r="F5" i="18"/>
  <c r="N22" i="18" l="1"/>
  <c r="J22" i="18"/>
  <c r="O49" i="18"/>
  <c r="J52" i="18"/>
  <c r="K53" i="18"/>
  <c r="K52" i="18"/>
  <c r="L53" i="18"/>
  <c r="J50" i="18"/>
  <c r="L52" i="18"/>
  <c r="M53" i="18"/>
  <c r="J49" i="18"/>
  <c r="K50" i="18"/>
  <c r="L51" i="18"/>
  <c r="M52" i="18"/>
  <c r="N53" i="18"/>
  <c r="K22" i="18"/>
  <c r="L22" i="18"/>
  <c r="B18" i="18"/>
  <c r="K18" i="18" s="1"/>
  <c r="M22" i="18"/>
  <c r="L26" i="18"/>
  <c r="O22" i="18"/>
  <c r="M26" i="18"/>
  <c r="B30" i="18"/>
  <c r="O26" i="18"/>
  <c r="N48" i="18"/>
  <c r="O51" i="18"/>
  <c r="M13" i="18"/>
  <c r="N18" i="18"/>
  <c r="J13" i="18"/>
  <c r="N13" i="18"/>
  <c r="O13" i="18"/>
  <c r="K19" i="18"/>
  <c r="K26" i="18"/>
  <c r="J19" i="18"/>
  <c r="J26" i="18"/>
  <c r="J48" i="18"/>
  <c r="K51" i="18"/>
  <c r="B209" i="18"/>
  <c r="K48" i="18"/>
  <c r="B16" i="18"/>
  <c r="B212" i="18"/>
  <c r="B208" i="18"/>
  <c r="N19" i="18"/>
  <c r="N26" i="18"/>
  <c r="B211" i="18"/>
  <c r="B210" i="18"/>
  <c r="H29" i="17"/>
  <c r="O29" i="17" s="1"/>
  <c r="G29" i="17"/>
  <c r="N29" i="17" s="1"/>
  <c r="F29" i="17"/>
  <c r="M29" i="17" s="1"/>
  <c r="E29" i="17"/>
  <c r="L29" i="17" s="1"/>
  <c r="D29" i="17"/>
  <c r="K29" i="17" s="1"/>
  <c r="C29" i="17"/>
  <c r="J29" i="17" s="1"/>
  <c r="H28" i="17"/>
  <c r="O28" i="17" s="1"/>
  <c r="G28" i="17"/>
  <c r="N28" i="17" s="1"/>
  <c r="F28" i="17"/>
  <c r="M28" i="17" s="1"/>
  <c r="E28" i="17"/>
  <c r="L28" i="17" s="1"/>
  <c r="D28" i="17"/>
  <c r="K28" i="17" s="1"/>
  <c r="C28" i="17"/>
  <c r="J28" i="17" s="1"/>
  <c r="H27" i="17"/>
  <c r="O27" i="17" s="1"/>
  <c r="G27" i="17"/>
  <c r="N27" i="17" s="1"/>
  <c r="F27" i="17"/>
  <c r="M27" i="17" s="1"/>
  <c r="E27" i="17"/>
  <c r="L27" i="17" s="1"/>
  <c r="D27" i="17"/>
  <c r="K27" i="17" s="1"/>
  <c r="C27" i="17"/>
  <c r="J27" i="17" s="1"/>
  <c r="M18" i="18" l="1"/>
  <c r="M31" i="18" s="1"/>
  <c r="B24" i="18"/>
  <c r="L18" i="18"/>
  <c r="L31" i="18" s="1"/>
  <c r="E33" i="18" s="1"/>
  <c r="J18" i="18"/>
  <c r="J31" i="18" s="1"/>
  <c r="J43" i="18" s="1"/>
  <c r="O18" i="18"/>
  <c r="K31" i="18"/>
  <c r="D31" i="18" s="1"/>
  <c r="D32" i="18" s="1"/>
  <c r="G212" i="18"/>
  <c r="O212" i="18"/>
  <c r="F212" i="18"/>
  <c r="N212" i="18"/>
  <c r="E212" i="18"/>
  <c r="M212" i="18"/>
  <c r="D212" i="18"/>
  <c r="L212" i="18"/>
  <c r="C212" i="18"/>
  <c r="B215" i="18" s="1" a="1"/>
  <c r="J212" i="18"/>
  <c r="K212" i="18"/>
  <c r="H212" i="18"/>
  <c r="N31" i="18"/>
  <c r="O208" i="18"/>
  <c r="F208" i="18"/>
  <c r="N208" i="18"/>
  <c r="E208" i="18"/>
  <c r="M208" i="18"/>
  <c r="D208" i="18"/>
  <c r="L208" i="18"/>
  <c r="C208" i="18"/>
  <c r="K208" i="18"/>
  <c r="H208" i="18"/>
  <c r="J208" i="18"/>
  <c r="G208" i="18"/>
  <c r="L210" i="18"/>
  <c r="E7" i="18" s="1"/>
  <c r="C210" i="18"/>
  <c r="C6" i="18" s="1"/>
  <c r="K210" i="18"/>
  <c r="D7" i="18" s="1"/>
  <c r="B6" i="18"/>
  <c r="J210" i="18"/>
  <c r="C7" i="18" s="1"/>
  <c r="H210" i="18"/>
  <c r="H6" i="18" s="1"/>
  <c r="G210" i="18"/>
  <c r="G6" i="18" s="1"/>
  <c r="N210" i="18"/>
  <c r="G7" i="18" s="1"/>
  <c r="E210" i="18"/>
  <c r="E6" i="18" s="1"/>
  <c r="O210" i="18"/>
  <c r="H7" i="18" s="1"/>
  <c r="F210" i="18"/>
  <c r="F6" i="18" s="1"/>
  <c r="M210" i="18"/>
  <c r="F7" i="18" s="1"/>
  <c r="D210" i="18"/>
  <c r="D6" i="18" s="1"/>
  <c r="N211" i="18"/>
  <c r="E211" i="18"/>
  <c r="M211" i="18"/>
  <c r="D211" i="18"/>
  <c r="L211" i="18"/>
  <c r="C211" i="18"/>
  <c r="K211" i="18"/>
  <c r="J211" i="18"/>
  <c r="G211" i="18"/>
  <c r="H211" i="18"/>
  <c r="O211" i="18"/>
  <c r="F211" i="18"/>
  <c r="J209" i="18"/>
  <c r="H209" i="18"/>
  <c r="G209" i="18"/>
  <c r="O209" i="18"/>
  <c r="F209" i="18"/>
  <c r="N209" i="18"/>
  <c r="E209" i="18"/>
  <c r="L209" i="18"/>
  <c r="C209" i="18"/>
  <c r="M209" i="18"/>
  <c r="D209" i="18"/>
  <c r="K209" i="18"/>
  <c r="O31" i="18"/>
  <c r="H22" i="17"/>
  <c r="G22" i="17"/>
  <c r="F22" i="17"/>
  <c r="E22" i="17"/>
  <c r="D22" i="17"/>
  <c r="C22" i="17"/>
  <c r="B22" i="17"/>
  <c r="H60" i="17"/>
  <c r="O60" i="17" s="1"/>
  <c r="G60" i="17"/>
  <c r="N60" i="17" s="1"/>
  <c r="F60" i="17"/>
  <c r="M60" i="17" s="1"/>
  <c r="E60" i="17"/>
  <c r="L60" i="17" s="1"/>
  <c r="D60" i="17"/>
  <c r="K60" i="17" s="1"/>
  <c r="C60" i="17"/>
  <c r="J60" i="17" s="1"/>
  <c r="H59" i="17"/>
  <c r="O59" i="17" s="1"/>
  <c r="G59" i="17"/>
  <c r="N59" i="17" s="1"/>
  <c r="F59" i="17"/>
  <c r="M59" i="17" s="1"/>
  <c r="E59" i="17"/>
  <c r="L59" i="17" s="1"/>
  <c r="D59" i="17"/>
  <c r="K59" i="17" s="1"/>
  <c r="C59" i="17"/>
  <c r="J59" i="17" s="1"/>
  <c r="H58" i="17"/>
  <c r="O58" i="17" s="1"/>
  <c r="G58" i="17"/>
  <c r="N58" i="17" s="1"/>
  <c r="F58" i="17"/>
  <c r="M58" i="17" s="1"/>
  <c r="E58" i="17"/>
  <c r="L58" i="17" s="1"/>
  <c r="D58" i="17"/>
  <c r="K58" i="17" s="1"/>
  <c r="C58" i="17"/>
  <c r="J58" i="17" s="1"/>
  <c r="H57" i="17"/>
  <c r="O57" i="17" s="1"/>
  <c r="G57" i="17"/>
  <c r="N57" i="17" s="1"/>
  <c r="F57" i="17"/>
  <c r="M57" i="17" s="1"/>
  <c r="E57" i="17"/>
  <c r="L57" i="17" s="1"/>
  <c r="D57" i="17"/>
  <c r="K57" i="17" s="1"/>
  <c r="C57" i="17"/>
  <c r="J57" i="17" s="1"/>
  <c r="H56" i="17"/>
  <c r="O56" i="17" s="1"/>
  <c r="G56" i="17"/>
  <c r="N56" i="17" s="1"/>
  <c r="F56" i="17"/>
  <c r="M56" i="17" s="1"/>
  <c r="E56" i="17"/>
  <c r="L56" i="17" s="1"/>
  <c r="D56" i="17"/>
  <c r="K56" i="17" s="1"/>
  <c r="C56" i="17"/>
  <c r="J56" i="17" s="1"/>
  <c r="H55" i="17"/>
  <c r="O55" i="17" s="1"/>
  <c r="G55" i="17"/>
  <c r="N55" i="17" s="1"/>
  <c r="F55" i="17"/>
  <c r="M55" i="17" s="1"/>
  <c r="E55" i="17"/>
  <c r="L55" i="17" s="1"/>
  <c r="D55" i="17"/>
  <c r="K55" i="17" s="1"/>
  <c r="C55" i="17"/>
  <c r="J55" i="17" s="1"/>
  <c r="H54" i="17"/>
  <c r="O54" i="17" s="1"/>
  <c r="G54" i="17"/>
  <c r="N54" i="17" s="1"/>
  <c r="F54" i="17"/>
  <c r="M54" i="17" s="1"/>
  <c r="E54" i="17"/>
  <c r="L54" i="17" s="1"/>
  <c r="D54" i="17"/>
  <c r="K54" i="17" s="1"/>
  <c r="C54" i="17"/>
  <c r="J54" i="17" s="1"/>
  <c r="B49" i="17"/>
  <c r="B50" i="17"/>
  <c r="B51" i="17"/>
  <c r="B52" i="17"/>
  <c r="B53" i="17"/>
  <c r="L43" i="18" l="1"/>
  <c r="E45" i="18" s="1"/>
  <c r="E31" i="18"/>
  <c r="E32" i="18" s="1"/>
  <c r="B216" i="18" a="1"/>
  <c r="B218" i="18" a="1"/>
  <c r="F31" i="18"/>
  <c r="F32" i="18" s="1"/>
  <c r="M43" i="18"/>
  <c r="F45" i="18" s="1"/>
  <c r="F33" i="18"/>
  <c r="C31" i="18"/>
  <c r="C32" i="18" s="1"/>
  <c r="D33" i="18"/>
  <c r="K43" i="18"/>
  <c r="D45" i="18" s="1"/>
  <c r="H218" i="18"/>
  <c r="O218" i="18"/>
  <c r="G218" i="18"/>
  <c r="N218" i="18"/>
  <c r="F218" i="18"/>
  <c r="M218" i="18"/>
  <c r="E218" i="18"/>
  <c r="L218" i="18"/>
  <c r="D218" i="18"/>
  <c r="J218" i="18"/>
  <c r="K218" i="18"/>
  <c r="C218" i="18"/>
  <c r="B218" i="18"/>
  <c r="I218" i="18"/>
  <c r="H216" i="18"/>
  <c r="O216" i="18"/>
  <c r="G216" i="18"/>
  <c r="N216" i="18"/>
  <c r="F216" i="18"/>
  <c r="M216" i="18"/>
  <c r="E216" i="18"/>
  <c r="L216" i="18"/>
  <c r="D216" i="18"/>
  <c r="J216" i="18"/>
  <c r="B216" i="18"/>
  <c r="K216" i="18"/>
  <c r="C216" i="18"/>
  <c r="I216" i="18"/>
  <c r="H215" i="18"/>
  <c r="O215" i="18"/>
  <c r="G215" i="18"/>
  <c r="N215" i="18"/>
  <c r="F215" i="18"/>
  <c r="M215" i="18"/>
  <c r="E215" i="18"/>
  <c r="L215" i="18"/>
  <c r="D215" i="18"/>
  <c r="J215" i="18"/>
  <c r="B215" i="18"/>
  <c r="K215" i="18"/>
  <c r="C215" i="18"/>
  <c r="I215" i="18"/>
  <c r="H31" i="18"/>
  <c r="H32" i="18" s="1"/>
  <c r="O43" i="18"/>
  <c r="B217" i="18" a="1"/>
  <c r="J61" i="18"/>
  <c r="C43" i="18"/>
  <c r="N43" i="18"/>
  <c r="G33" i="18"/>
  <c r="G31" i="18"/>
  <c r="G32" i="18" s="1"/>
  <c r="J22" i="17"/>
  <c r="K22" i="17"/>
  <c r="L22" i="17"/>
  <c r="M22" i="17"/>
  <c r="N22" i="17"/>
  <c r="O22" i="17"/>
  <c r="H23" i="17"/>
  <c r="O23" i="17" s="1"/>
  <c r="G23" i="17"/>
  <c r="N23" i="17" s="1"/>
  <c r="F23" i="17"/>
  <c r="M23" i="17" s="1"/>
  <c r="E23" i="17"/>
  <c r="L23" i="17" s="1"/>
  <c r="D23" i="17"/>
  <c r="K23" i="17" s="1"/>
  <c r="C23" i="17"/>
  <c r="J23" i="17" s="1"/>
  <c r="B48" i="17"/>
  <c r="G51" i="1"/>
  <c r="F51" i="1"/>
  <c r="E51" i="1"/>
  <c r="D51" i="1"/>
  <c r="C51" i="1"/>
  <c r="B51" i="1"/>
  <c r="G50" i="1"/>
  <c r="F50" i="1"/>
  <c r="E50" i="1"/>
  <c r="D50" i="1"/>
  <c r="C50" i="1"/>
  <c r="B50" i="1"/>
  <c r="C49" i="1"/>
  <c r="E49" i="1"/>
  <c r="F49" i="1"/>
  <c r="G49" i="1"/>
  <c r="D49" i="1"/>
  <c r="B49" i="1"/>
  <c r="B56" i="1"/>
  <c r="B55" i="1" s="1"/>
  <c r="G56" i="1"/>
  <c r="G55" i="1" s="1"/>
  <c r="F56" i="1"/>
  <c r="F55" i="1" s="1"/>
  <c r="E56" i="1"/>
  <c r="E55" i="1" s="1"/>
  <c r="D56" i="1"/>
  <c r="D55" i="1" s="1"/>
  <c r="C56" i="1"/>
  <c r="C55" i="1" s="1"/>
  <c r="M61" i="18" l="1"/>
  <c r="F61" i="18" s="1"/>
  <c r="F62" i="18" s="1"/>
  <c r="E43" i="18"/>
  <c r="E44" i="18" s="1"/>
  <c r="L61" i="18"/>
  <c r="L69" i="18" s="1"/>
  <c r="F43" i="18"/>
  <c r="F44" i="18" s="1"/>
  <c r="B33" i="18"/>
  <c r="D43" i="18"/>
  <c r="D44" i="18" s="1"/>
  <c r="K61" i="18"/>
  <c r="D61" i="18" s="1"/>
  <c r="D62" i="18" s="1"/>
  <c r="H217" i="18"/>
  <c r="O217" i="18"/>
  <c r="G217" i="18"/>
  <c r="N217" i="18"/>
  <c r="F217" i="18"/>
  <c r="M217" i="18"/>
  <c r="E217" i="18"/>
  <c r="L217" i="18"/>
  <c r="D217" i="18"/>
  <c r="J217" i="18"/>
  <c r="B217" i="18"/>
  <c r="K217" i="18"/>
  <c r="C217" i="18"/>
  <c r="I217" i="18"/>
  <c r="M69" i="18"/>
  <c r="F63" i="18"/>
  <c r="C44" i="18"/>
  <c r="N61" i="18"/>
  <c r="G43" i="18"/>
  <c r="G44" i="18" s="1"/>
  <c r="G45" i="18"/>
  <c r="B45" i="18" s="1"/>
  <c r="J69" i="18"/>
  <c r="C61" i="18"/>
  <c r="O61" i="18"/>
  <c r="H43" i="18"/>
  <c r="H44" i="18" s="1"/>
  <c r="B31" i="18"/>
  <c r="B32" i="18"/>
  <c r="P218" i="17"/>
  <c r="P211" i="17" s="1"/>
  <c r="P217" i="17"/>
  <c r="P210" i="17" s="1"/>
  <c r="B7" i="17" s="1"/>
  <c r="P216" i="17"/>
  <c r="P209" i="17" s="1"/>
  <c r="P215" i="17"/>
  <c r="P212" i="17" s="1"/>
  <c r="H75" i="17"/>
  <c r="O75" i="17" s="1"/>
  <c r="G75" i="17"/>
  <c r="N75" i="17" s="1"/>
  <c r="F75" i="17"/>
  <c r="M75" i="17" s="1"/>
  <c r="E75" i="17"/>
  <c r="L75" i="17" s="1"/>
  <c r="D75" i="17"/>
  <c r="K75" i="17" s="1"/>
  <c r="C75" i="17"/>
  <c r="J75" i="17" s="1"/>
  <c r="H74" i="17"/>
  <c r="G74" i="17"/>
  <c r="F74" i="17"/>
  <c r="E74" i="17"/>
  <c r="D74" i="17"/>
  <c r="C74" i="17"/>
  <c r="B74" i="17"/>
  <c r="H68" i="17"/>
  <c r="O68" i="17" s="1"/>
  <c r="G68" i="17"/>
  <c r="N68" i="17" s="1"/>
  <c r="F68" i="17"/>
  <c r="M68" i="17" s="1"/>
  <c r="E68" i="17"/>
  <c r="L68" i="17" s="1"/>
  <c r="D68" i="17"/>
  <c r="K68" i="17" s="1"/>
  <c r="C68" i="17"/>
  <c r="J68" i="17" s="1"/>
  <c r="H67" i="17"/>
  <c r="O67" i="17" s="1"/>
  <c r="G67" i="17"/>
  <c r="N67" i="17" s="1"/>
  <c r="F67" i="17"/>
  <c r="M67" i="17" s="1"/>
  <c r="E67" i="17"/>
  <c r="L67" i="17" s="1"/>
  <c r="D67" i="17"/>
  <c r="K67" i="17" s="1"/>
  <c r="C67" i="17"/>
  <c r="J67" i="17" s="1"/>
  <c r="H66" i="17"/>
  <c r="O66" i="17" s="1"/>
  <c r="G66" i="17"/>
  <c r="N66" i="17" s="1"/>
  <c r="F66" i="17"/>
  <c r="M66" i="17" s="1"/>
  <c r="E66" i="17"/>
  <c r="L66" i="17" s="1"/>
  <c r="D66" i="17"/>
  <c r="K66" i="17" s="1"/>
  <c r="C66" i="17"/>
  <c r="J66" i="17" s="1"/>
  <c r="H53" i="17"/>
  <c r="O53" i="17" s="1"/>
  <c r="G53" i="17"/>
  <c r="N53" i="17" s="1"/>
  <c r="F53" i="17"/>
  <c r="M53" i="17" s="1"/>
  <c r="E53" i="17"/>
  <c r="L53" i="17" s="1"/>
  <c r="D53" i="17"/>
  <c r="K53" i="17" s="1"/>
  <c r="C53" i="17"/>
  <c r="J53" i="17" s="1"/>
  <c r="H52" i="17"/>
  <c r="O52" i="17" s="1"/>
  <c r="G52" i="17"/>
  <c r="N52" i="17" s="1"/>
  <c r="F52" i="17"/>
  <c r="M52" i="17" s="1"/>
  <c r="E52" i="17"/>
  <c r="L52" i="17" s="1"/>
  <c r="D52" i="17"/>
  <c r="K52" i="17" s="1"/>
  <c r="C52" i="17"/>
  <c r="J52" i="17" s="1"/>
  <c r="H51" i="17"/>
  <c r="O51" i="17" s="1"/>
  <c r="G51" i="17"/>
  <c r="N51" i="17" s="1"/>
  <c r="F51" i="17"/>
  <c r="M51" i="17" s="1"/>
  <c r="E51" i="17"/>
  <c r="L51" i="17" s="1"/>
  <c r="D51" i="17"/>
  <c r="K51" i="17" s="1"/>
  <c r="C51" i="17"/>
  <c r="J51" i="17" s="1"/>
  <c r="H50" i="17"/>
  <c r="G50" i="17"/>
  <c r="F50" i="17"/>
  <c r="E50" i="17"/>
  <c r="D50" i="17"/>
  <c r="C50" i="17"/>
  <c r="H49" i="17"/>
  <c r="G49" i="17"/>
  <c r="F49" i="17"/>
  <c r="E49" i="17"/>
  <c r="D49" i="17"/>
  <c r="C49" i="17"/>
  <c r="H48" i="17"/>
  <c r="G48" i="17"/>
  <c r="F48" i="17"/>
  <c r="E48" i="17"/>
  <c r="D48" i="17"/>
  <c r="C48" i="17"/>
  <c r="J48" i="17" s="1"/>
  <c r="H42" i="17"/>
  <c r="O42" i="17" s="1"/>
  <c r="G42" i="17"/>
  <c r="N42" i="17" s="1"/>
  <c r="F42" i="17"/>
  <c r="M42" i="17" s="1"/>
  <c r="E42" i="17"/>
  <c r="L42" i="17" s="1"/>
  <c r="D42" i="17"/>
  <c r="K42" i="17" s="1"/>
  <c r="C42" i="17"/>
  <c r="J42" i="17" s="1"/>
  <c r="H41" i="17"/>
  <c r="O41" i="17" s="1"/>
  <c r="G41" i="17"/>
  <c r="N41" i="17" s="1"/>
  <c r="F41" i="17"/>
  <c r="M41" i="17" s="1"/>
  <c r="E41" i="17"/>
  <c r="L41" i="17" s="1"/>
  <c r="D41" i="17"/>
  <c r="K41" i="17" s="1"/>
  <c r="C41" i="17"/>
  <c r="J41" i="17" s="1"/>
  <c r="H40" i="17"/>
  <c r="O40" i="17" s="1"/>
  <c r="G40" i="17"/>
  <c r="N40" i="17" s="1"/>
  <c r="F40" i="17"/>
  <c r="M40" i="17" s="1"/>
  <c r="E40" i="17"/>
  <c r="L40" i="17" s="1"/>
  <c r="D40" i="17"/>
  <c r="K40" i="17" s="1"/>
  <c r="C40" i="17"/>
  <c r="J40" i="17" s="1"/>
  <c r="H39" i="17"/>
  <c r="O39" i="17" s="1"/>
  <c r="G39" i="17"/>
  <c r="N39" i="17" s="1"/>
  <c r="F39" i="17"/>
  <c r="M39" i="17" s="1"/>
  <c r="E39" i="17"/>
  <c r="L39" i="17" s="1"/>
  <c r="D39" i="17"/>
  <c r="K39" i="17" s="1"/>
  <c r="C39" i="17"/>
  <c r="J39" i="17" s="1"/>
  <c r="H38" i="17"/>
  <c r="G38" i="17"/>
  <c r="F38" i="17"/>
  <c r="E38" i="17"/>
  <c r="D38" i="17"/>
  <c r="C38" i="17"/>
  <c r="H36" i="17"/>
  <c r="O36" i="17" s="1"/>
  <c r="G36" i="17"/>
  <c r="N36" i="17" s="1"/>
  <c r="F36" i="17"/>
  <c r="M36" i="17" s="1"/>
  <c r="E36" i="17"/>
  <c r="L36" i="17" s="1"/>
  <c r="D36" i="17"/>
  <c r="K36" i="17" s="1"/>
  <c r="C36" i="17"/>
  <c r="J36" i="17" s="1"/>
  <c r="H26" i="17"/>
  <c r="G26" i="17"/>
  <c r="F26" i="17"/>
  <c r="E26" i="17"/>
  <c r="D26" i="17"/>
  <c r="C26" i="17"/>
  <c r="B25" i="17"/>
  <c r="B26" i="17" s="1"/>
  <c r="H21" i="17"/>
  <c r="O21" i="17" s="1"/>
  <c r="G21" i="17"/>
  <c r="N21" i="17" s="1"/>
  <c r="F21" i="17"/>
  <c r="M21" i="17" s="1"/>
  <c r="E21" i="17"/>
  <c r="L21" i="17" s="1"/>
  <c r="D21" i="17"/>
  <c r="K21" i="17" s="1"/>
  <c r="C21" i="17"/>
  <c r="J21" i="17" s="1"/>
  <c r="H20" i="17"/>
  <c r="O20" i="17" s="1"/>
  <c r="G20" i="17"/>
  <c r="N20" i="17" s="1"/>
  <c r="F20" i="17"/>
  <c r="M20" i="17" s="1"/>
  <c r="E20" i="17"/>
  <c r="L20" i="17" s="1"/>
  <c r="D20" i="17"/>
  <c r="K20" i="17" s="1"/>
  <c r="C20" i="17"/>
  <c r="J20" i="17" s="1"/>
  <c r="H19" i="17"/>
  <c r="G19" i="17"/>
  <c r="F19" i="17"/>
  <c r="E19" i="17"/>
  <c r="D19" i="17"/>
  <c r="C19" i="17"/>
  <c r="B19" i="17"/>
  <c r="H18" i="17"/>
  <c r="G18" i="17"/>
  <c r="F18" i="17"/>
  <c r="E18" i="17"/>
  <c r="D18" i="17"/>
  <c r="C18" i="17"/>
  <c r="B17" i="17"/>
  <c r="H15" i="17"/>
  <c r="O15" i="17" s="1"/>
  <c r="G15" i="17"/>
  <c r="N15" i="17" s="1"/>
  <c r="F15" i="17"/>
  <c r="M15" i="17" s="1"/>
  <c r="E15" i="17"/>
  <c r="L15" i="17" s="1"/>
  <c r="D15" i="17"/>
  <c r="K15" i="17" s="1"/>
  <c r="C15" i="17"/>
  <c r="J15" i="17" s="1"/>
  <c r="H14" i="17"/>
  <c r="O14" i="17" s="1"/>
  <c r="G14" i="17"/>
  <c r="N14" i="17" s="1"/>
  <c r="F14" i="17"/>
  <c r="M14" i="17" s="1"/>
  <c r="E14" i="17"/>
  <c r="L14" i="17" s="1"/>
  <c r="D14" i="17"/>
  <c r="K14" i="17" s="1"/>
  <c r="C14" i="17"/>
  <c r="J14" i="17" s="1"/>
  <c r="H13" i="17"/>
  <c r="G13" i="17"/>
  <c r="F13" i="17"/>
  <c r="E13" i="17"/>
  <c r="D13" i="17"/>
  <c r="C13" i="17"/>
  <c r="B12" i="17"/>
  <c r="H5" i="17"/>
  <c r="F5" i="17"/>
  <c r="B212" i="17" s="1"/>
  <c r="E61" i="18" l="1"/>
  <c r="E62" i="18" s="1"/>
  <c r="E63" i="18"/>
  <c r="D63" i="18"/>
  <c r="K69" i="18"/>
  <c r="D69" i="18" s="1"/>
  <c r="D70" i="18" s="1"/>
  <c r="J76" i="18"/>
  <c r="C76" i="18" s="1"/>
  <c r="C69" i="18"/>
  <c r="E71" i="18"/>
  <c r="L76" i="18"/>
  <c r="E69" i="18"/>
  <c r="E70" i="18" s="1"/>
  <c r="N69" i="18"/>
  <c r="G63" i="18"/>
  <c r="G61" i="18"/>
  <c r="G62" i="18" s="1"/>
  <c r="B44" i="18"/>
  <c r="B43" i="18"/>
  <c r="O69" i="18"/>
  <c r="H61" i="18"/>
  <c r="H62" i="18" s="1"/>
  <c r="C62" i="18"/>
  <c r="F71" i="18"/>
  <c r="M76" i="18"/>
  <c r="F69" i="18"/>
  <c r="F70" i="18" s="1"/>
  <c r="J74" i="17"/>
  <c r="K19" i="17"/>
  <c r="K74" i="17"/>
  <c r="L74" i="17"/>
  <c r="M19" i="17"/>
  <c r="M74" i="17"/>
  <c r="N74" i="17"/>
  <c r="O74" i="17"/>
  <c r="J49" i="17"/>
  <c r="K49" i="17"/>
  <c r="B18" i="17"/>
  <c r="L18" i="17" s="1"/>
  <c r="N19" i="17"/>
  <c r="O19" i="17"/>
  <c r="J19" i="17"/>
  <c r="O48" i="17"/>
  <c r="L19" i="17"/>
  <c r="J50" i="17"/>
  <c r="K48" i="17"/>
  <c r="L49" i="17"/>
  <c r="L48" i="17"/>
  <c r="M49" i="17"/>
  <c r="N50" i="17"/>
  <c r="M48" i="17"/>
  <c r="N49" i="17"/>
  <c r="O50" i="17"/>
  <c r="N48" i="17"/>
  <c r="O49" i="17"/>
  <c r="M38" i="17"/>
  <c r="O38" i="17"/>
  <c r="L26" i="17"/>
  <c r="J38" i="17"/>
  <c r="B211" i="17"/>
  <c r="H211" i="17" s="1"/>
  <c r="K38" i="17"/>
  <c r="N38" i="17"/>
  <c r="L38" i="17"/>
  <c r="K50" i="17"/>
  <c r="M26" i="17"/>
  <c r="K212" i="17"/>
  <c r="E212" i="17"/>
  <c r="J212" i="17"/>
  <c r="H212" i="17"/>
  <c r="N212" i="17"/>
  <c r="G212" i="17"/>
  <c r="O212" i="17"/>
  <c r="F212" i="17"/>
  <c r="M212" i="17"/>
  <c r="D212" i="17"/>
  <c r="L212" i="17"/>
  <c r="C212" i="17"/>
  <c r="O26" i="17"/>
  <c r="N26" i="17"/>
  <c r="K26" i="17"/>
  <c r="J26" i="17"/>
  <c r="B30" i="17"/>
  <c r="B209" i="17"/>
  <c r="L50" i="17"/>
  <c r="B208" i="17"/>
  <c r="B13" i="17"/>
  <c r="N13" i="17" s="1"/>
  <c r="M50" i="17"/>
  <c r="B210" i="17"/>
  <c r="H37" i="17"/>
  <c r="O37" i="17" s="1"/>
  <c r="G37" i="17"/>
  <c r="N37" i="17" s="1"/>
  <c r="F37" i="17"/>
  <c r="M37" i="17" s="1"/>
  <c r="E37" i="17"/>
  <c r="L37" i="17" s="1"/>
  <c r="D37" i="17"/>
  <c r="K37" i="17" s="1"/>
  <c r="C37" i="17"/>
  <c r="J37" i="17" s="1"/>
  <c r="B63" i="18" l="1"/>
  <c r="D71" i="18"/>
  <c r="K76" i="18"/>
  <c r="D78" i="18" s="1"/>
  <c r="B62" i="18"/>
  <c r="B61" i="18"/>
  <c r="N76" i="18"/>
  <c r="G69" i="18"/>
  <c r="G70" i="18" s="1"/>
  <c r="G71" i="18"/>
  <c r="F76" i="18"/>
  <c r="F77" i="18" s="1"/>
  <c r="F78" i="18"/>
  <c r="O76" i="18"/>
  <c r="H76" i="18" s="1"/>
  <c r="H77" i="18" s="1"/>
  <c r="H69" i="18"/>
  <c r="H70" i="18" s="1"/>
  <c r="E76" i="18"/>
  <c r="E77" i="18" s="1"/>
  <c r="E78" i="18"/>
  <c r="C70" i="18"/>
  <c r="C77" i="18"/>
  <c r="O18" i="17"/>
  <c r="B24" i="17"/>
  <c r="M18" i="17"/>
  <c r="N18" i="17"/>
  <c r="N31" i="17" s="1"/>
  <c r="G31" i="17" s="1"/>
  <c r="G32" i="17" s="1"/>
  <c r="J211" i="17"/>
  <c r="K18" i="17"/>
  <c r="O211" i="17"/>
  <c r="J18" i="17"/>
  <c r="F211" i="17"/>
  <c r="M211" i="17"/>
  <c r="G211" i="17"/>
  <c r="B215" i="17" a="1"/>
  <c r="D215" i="17" s="1"/>
  <c r="D211" i="17"/>
  <c r="K211" i="17"/>
  <c r="L211" i="17"/>
  <c r="N211" i="17"/>
  <c r="C211" i="17"/>
  <c r="E211" i="17"/>
  <c r="O208" i="17"/>
  <c r="F208" i="17"/>
  <c r="N208" i="17"/>
  <c r="E208" i="17"/>
  <c r="J208" i="17"/>
  <c r="M208" i="17"/>
  <c r="D208" i="17"/>
  <c r="L208" i="17"/>
  <c r="C208" i="17"/>
  <c r="K208" i="17"/>
  <c r="H208" i="17"/>
  <c r="G208" i="17"/>
  <c r="M210" i="17"/>
  <c r="D210" i="17"/>
  <c r="G210" i="17"/>
  <c r="L210" i="17"/>
  <c r="C210" i="17"/>
  <c r="K210" i="17"/>
  <c r="J210" i="17"/>
  <c r="H210" i="17"/>
  <c r="O210" i="17"/>
  <c r="F210" i="17"/>
  <c r="N210" i="17"/>
  <c r="E210" i="17"/>
  <c r="M13" i="17"/>
  <c r="M31" i="17" s="1"/>
  <c r="L13" i="17"/>
  <c r="L31" i="17" s="1"/>
  <c r="J13" i="17"/>
  <c r="B16" i="17"/>
  <c r="J209" i="17"/>
  <c r="H209" i="17"/>
  <c r="M209" i="17"/>
  <c r="G209" i="17"/>
  <c r="D209" i="17"/>
  <c r="O209" i="17"/>
  <c r="F209" i="17"/>
  <c r="N209" i="17"/>
  <c r="E209" i="17"/>
  <c r="L209" i="17"/>
  <c r="C209" i="17"/>
  <c r="K209" i="17"/>
  <c r="O13" i="17"/>
  <c r="K13" i="17"/>
  <c r="B71" i="18" l="1"/>
  <c r="D76" i="18"/>
  <c r="D77" i="18" s="1"/>
  <c r="B70" i="18"/>
  <c r="B69" i="18"/>
  <c r="G76" i="18"/>
  <c r="G78" i="18"/>
  <c r="B78" i="18" s="1"/>
  <c r="O31" i="17"/>
  <c r="O43" i="17" s="1"/>
  <c r="K31" i="17"/>
  <c r="D33" i="17" s="1"/>
  <c r="J31" i="17"/>
  <c r="C31" i="17" s="1"/>
  <c r="M215" i="17"/>
  <c r="I215" i="17"/>
  <c r="E215" i="17"/>
  <c r="B215" i="17"/>
  <c r="F215" i="17"/>
  <c r="J215" i="17"/>
  <c r="G215" i="17"/>
  <c r="L215" i="17"/>
  <c r="N215" i="17"/>
  <c r="B216" i="17" a="1"/>
  <c r="C216" i="17" s="1"/>
  <c r="B217" i="17" a="1"/>
  <c r="L217" i="17" s="1"/>
  <c r="B218" i="17" a="1"/>
  <c r="K218" i="17" s="1"/>
  <c r="O215" i="17"/>
  <c r="H215" i="17"/>
  <c r="K215" i="17"/>
  <c r="C215" i="17"/>
  <c r="G33" i="17"/>
  <c r="N43" i="17"/>
  <c r="N61" i="17" s="1"/>
  <c r="E33" i="17"/>
  <c r="E31" i="17"/>
  <c r="E32" i="17" s="1"/>
  <c r="L43" i="17"/>
  <c r="F31" i="17"/>
  <c r="F32" i="17" s="1"/>
  <c r="M43" i="17"/>
  <c r="F33" i="17"/>
  <c r="G77" i="18" l="1"/>
  <c r="B77" i="18" s="1"/>
  <c r="B76" i="18"/>
  <c r="H31" i="17"/>
  <c r="H32" i="17" s="1"/>
  <c r="J43" i="17"/>
  <c r="J61" i="17" s="1"/>
  <c r="D31" i="17"/>
  <c r="D32" i="17" s="1"/>
  <c r="K43" i="17"/>
  <c r="D45" i="17" s="1"/>
  <c r="F217" i="17"/>
  <c r="G218" i="17"/>
  <c r="H217" i="17"/>
  <c r="J217" i="17"/>
  <c r="O216" i="17"/>
  <c r="C217" i="17"/>
  <c r="N216" i="17"/>
  <c r="J216" i="17"/>
  <c r="G216" i="17"/>
  <c r="D217" i="17"/>
  <c r="F216" i="17"/>
  <c r="K216" i="17"/>
  <c r="H216" i="17"/>
  <c r="I218" i="17"/>
  <c r="F218" i="17"/>
  <c r="H218" i="17"/>
  <c r="O218" i="17"/>
  <c r="B218" i="17"/>
  <c r="J218" i="17"/>
  <c r="M218" i="17"/>
  <c r="E218" i="17"/>
  <c r="L216" i="17"/>
  <c r="I217" i="17"/>
  <c r="B217" i="17"/>
  <c r="B6" i="17" s="1"/>
  <c r="M217" i="17"/>
  <c r="D218" i="17"/>
  <c r="I216" i="17"/>
  <c r="B216" i="17"/>
  <c r="O217" i="17"/>
  <c r="E217" i="17"/>
  <c r="E6" i="17" s="1"/>
  <c r="G217" i="17"/>
  <c r="L218" i="17"/>
  <c r="N217" i="17"/>
  <c r="G7" i="17" s="1"/>
  <c r="D216" i="17"/>
  <c r="K217" i="17"/>
  <c r="C218" i="17"/>
  <c r="E216" i="17"/>
  <c r="M216" i="17"/>
  <c r="N218" i="17"/>
  <c r="G43" i="17"/>
  <c r="G44" i="17" s="1"/>
  <c r="G45" i="17"/>
  <c r="E45" i="17"/>
  <c r="E43" i="17"/>
  <c r="E44" i="17" s="1"/>
  <c r="L61" i="17"/>
  <c r="C32" i="17"/>
  <c r="F45" i="17"/>
  <c r="F43" i="17"/>
  <c r="F44" i="17" s="1"/>
  <c r="M61" i="17"/>
  <c r="H43" i="17"/>
  <c r="H44" i="17" s="1"/>
  <c r="O61" i="17"/>
  <c r="B33" i="17"/>
  <c r="F6" i="17"/>
  <c r="F7" i="17"/>
  <c r="E7" i="17"/>
  <c r="D6" i="17"/>
  <c r="D7" i="17"/>
  <c r="C6" i="17"/>
  <c r="C7" i="17"/>
  <c r="H6" i="17"/>
  <c r="H7" i="17"/>
  <c r="G6" i="17"/>
  <c r="N69" i="17"/>
  <c r="G63" i="17"/>
  <c r="G61" i="17"/>
  <c r="G62" i="17" s="1"/>
  <c r="B32" i="17" l="1"/>
  <c r="D43" i="17"/>
  <c r="D44" i="17" s="1"/>
  <c r="K61" i="17"/>
  <c r="D63" i="17" s="1"/>
  <c r="C43" i="17"/>
  <c r="C44" i="17" s="1"/>
  <c r="B31" i="17"/>
  <c r="B45" i="17"/>
  <c r="H61" i="17"/>
  <c r="H62" i="17" s="1"/>
  <c r="O69" i="17"/>
  <c r="E61" i="17"/>
  <c r="E62" i="17" s="1"/>
  <c r="L69" i="17"/>
  <c r="E63" i="17"/>
  <c r="M69" i="17"/>
  <c r="F63" i="17"/>
  <c r="F61" i="17"/>
  <c r="F62" i="17" s="1"/>
  <c r="N76" i="17"/>
  <c r="G71" i="17"/>
  <c r="G69" i="17"/>
  <c r="G70" i="17" s="1"/>
  <c r="J69" i="17"/>
  <c r="C61" i="17"/>
  <c r="B44" i="17" l="1"/>
  <c r="B43" i="17"/>
  <c r="K69" i="17"/>
  <c r="K76" i="17" s="1"/>
  <c r="D61" i="17"/>
  <c r="D62" i="17" s="1"/>
  <c r="E69" i="17"/>
  <c r="E70" i="17" s="1"/>
  <c r="E71" i="17"/>
  <c r="L76" i="17"/>
  <c r="G76" i="17"/>
  <c r="G77" i="17" s="1"/>
  <c r="G78" i="17"/>
  <c r="C62" i="17"/>
  <c r="B63" i="17"/>
  <c r="C69" i="17"/>
  <c r="J76" i="17"/>
  <c r="C76" i="17" s="1"/>
  <c r="O76" i="17"/>
  <c r="H76" i="17" s="1"/>
  <c r="H77" i="17" s="1"/>
  <c r="H69" i="17"/>
  <c r="H70" i="17" s="1"/>
  <c r="M76" i="17"/>
  <c r="F71" i="17"/>
  <c r="F69" i="17"/>
  <c r="F70" i="17" s="1"/>
  <c r="D69" i="17" l="1"/>
  <c r="D70" i="17" s="1"/>
  <c r="D71" i="17"/>
  <c r="B71" i="17" s="1"/>
  <c r="B62" i="17"/>
  <c r="B61" i="17"/>
  <c r="C77" i="17"/>
  <c r="C70" i="17"/>
  <c r="E76" i="17"/>
  <c r="E77" i="17" s="1"/>
  <c r="E78" i="17"/>
  <c r="F76" i="17"/>
  <c r="F77" i="17" s="1"/>
  <c r="F78" i="17"/>
  <c r="D78" i="17"/>
  <c r="D76" i="17"/>
  <c r="D77" i="17" s="1"/>
  <c r="B70" i="17" l="1"/>
  <c r="B69" i="17"/>
  <c r="B77" i="17"/>
  <c r="B78" i="17"/>
  <c r="B76" i="17"/>
</calcChain>
</file>

<file path=xl/sharedStrings.xml><?xml version="1.0" encoding="utf-8"?>
<sst xmlns="http://schemas.openxmlformats.org/spreadsheetml/2006/main" count="332" uniqueCount="136">
  <si>
    <t>Material</t>
  </si>
  <si>
    <t>125 Hz</t>
  </si>
  <si>
    <t>250 Hz</t>
  </si>
  <si>
    <t>500 Hz</t>
  </si>
  <si>
    <t>1 kHz</t>
  </si>
  <si>
    <t>2 kHz</t>
  </si>
  <si>
    <t>4 kHz</t>
  </si>
  <si>
    <t>Decke</t>
  </si>
  <si>
    <t>Material / Beschaffenheit</t>
  </si>
  <si>
    <t>Wände</t>
  </si>
  <si>
    <t>Boden</t>
  </si>
  <si>
    <t>undefiniert</t>
  </si>
  <si>
    <t>Fenster, offen; Öffnungen</t>
  </si>
  <si>
    <t>Vorhang, schwere Ausführung; Falten 50%</t>
  </si>
  <si>
    <t>Tische mit Kunststoffbelägen</t>
  </si>
  <si>
    <t>Nachhallzeit nach Sabine in den Frequenzen</t>
  </si>
  <si>
    <t>Anpassungswert an gemachtem Nachhalltest</t>
  </si>
  <si>
    <t>Vorhang, Lamellenvorhang standard 45° offen</t>
  </si>
  <si>
    <t>Tür im Raum Holztür Hohlkammer</t>
  </si>
  <si>
    <t>Vorhang, Lamellenvorhang standard 90° offen</t>
  </si>
  <si>
    <t>Nachhallzeit nach Sabine ø T</t>
  </si>
  <si>
    <r>
      <t>Absorptionskoeffizient α</t>
    </r>
    <r>
      <rPr>
        <b/>
        <vertAlign val="subscript"/>
        <sz val="10"/>
        <rFont val="Arial"/>
        <family val="2"/>
      </rPr>
      <t>s</t>
    </r>
  </si>
  <si>
    <r>
      <t>äquvalente Absorptionsfläche A [m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]</t>
    </r>
  </si>
  <si>
    <r>
      <t>Fläche [m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]</t>
    </r>
  </si>
  <si>
    <r>
      <t>Absorptionsgrad α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>(f) = A</t>
    </r>
    <r>
      <rPr>
        <vertAlign val="subscript"/>
        <sz val="10"/>
        <rFont val="Arial"/>
        <family val="2"/>
      </rPr>
      <t>total</t>
    </r>
    <r>
      <rPr>
        <sz val="10"/>
        <rFont val="Arial"/>
        <family val="2"/>
      </rPr>
      <t xml:space="preserve"> / S</t>
    </r>
    <r>
      <rPr>
        <vertAlign val="subscript"/>
        <sz val="10"/>
        <rFont val="Arial"/>
        <family val="2"/>
      </rPr>
      <t>total</t>
    </r>
    <r>
      <rPr>
        <sz val="10"/>
        <rFont val="Arial"/>
        <family val="2"/>
      </rPr>
      <t xml:space="preserve"> | Absorptionsfläche A</t>
    </r>
    <r>
      <rPr>
        <vertAlign val="subscript"/>
        <sz val="10"/>
        <rFont val="Arial"/>
        <family val="2"/>
      </rPr>
      <t>total</t>
    </r>
    <r>
      <rPr>
        <sz val="10"/>
        <rFont val="Arial"/>
        <family val="2"/>
      </rPr>
      <t>(f) [m²]</t>
    </r>
  </si>
  <si>
    <t>Personen</t>
  </si>
  <si>
    <t>Akustikmaßnahmen</t>
  </si>
  <si>
    <t>vitAcoustic Premium PET 9mm Abstand 0</t>
  </si>
  <si>
    <t>vitAcoustic Premium PET 9mm Abstand 50</t>
  </si>
  <si>
    <t>vitAcoustic Premium PET 9mm Abstand 100</t>
  </si>
  <si>
    <t>vitAcoustic Premium PET 9mm Abstand 150</t>
  </si>
  <si>
    <t>vitAcoustic Premium PET 9mm Abstand 200</t>
  </si>
  <si>
    <t>A1 Musik</t>
  </si>
  <si>
    <t>A2 Sprache/Vortrag</t>
  </si>
  <si>
    <t>A3 Unterricht/Kommunikation - Sprache/Vortrag inklusiv</t>
  </si>
  <si>
    <t>A4 Unterricht/Kommunikation inklusiv</t>
  </si>
  <si>
    <t>A5 Sport</t>
  </si>
  <si>
    <t>B1 Räume ohne Aufenthaltsqualität (ohne Anforderung)</t>
  </si>
  <si>
    <t>B2 Räume zum kurzfristigen Verweilen</t>
  </si>
  <si>
    <t>B3 Räume zum längerfristigen Verweilen</t>
  </si>
  <si>
    <t>B4 Räume mit Bedarf an Lärmminderung und Raumkomfort</t>
  </si>
  <si>
    <t>B5 Räume mit besonderem Bedarf an Lärmminderung und Raumkomfort</t>
  </si>
  <si>
    <t>Verhältnis Absorptionsfläche / Volumen nach DIN 18041</t>
  </si>
  <si>
    <t>Sollwert A/V</t>
  </si>
  <si>
    <t>Sollwert Ts</t>
  </si>
  <si>
    <t>A125</t>
  </si>
  <si>
    <t>A250</t>
  </si>
  <si>
    <t>A500</t>
  </si>
  <si>
    <t>A1000</t>
  </si>
  <si>
    <t>A2000</t>
  </si>
  <si>
    <t>A4000</t>
  </si>
  <si>
    <t>B125</t>
  </si>
  <si>
    <t>B250</t>
  </si>
  <si>
    <t>B500</t>
  </si>
  <si>
    <t>B1000</t>
  </si>
  <si>
    <t>B2000</t>
  </si>
  <si>
    <t>B4000</t>
  </si>
  <si>
    <t>Tiefen (Bass) Absorber</t>
  </si>
  <si>
    <r>
      <rPr>
        <b/>
        <u/>
        <sz val="10"/>
        <color indexed="12"/>
        <rFont val="Arial"/>
        <family val="2"/>
      </rPr>
      <t>Messung mit iphone/android phone mit APM Tool</t>
    </r>
    <r>
      <rPr>
        <u/>
        <sz val="5"/>
        <color indexed="12"/>
        <rFont val="Arial"/>
        <family val="2"/>
      </rPr>
      <t xml:space="preserve"> </t>
    </r>
    <r>
      <rPr>
        <u/>
        <sz val="7"/>
        <color indexed="12"/>
        <rFont val="Arial"/>
        <family val="2"/>
      </rPr>
      <t xml:space="preserve">http://www.suonoevita.it/en/apm_tool_full_use_your_smart_phone_control_your_room_acoustics </t>
    </r>
  </si>
  <si>
    <t>Nutzungsarten für Räume nach DIN 18041</t>
  </si>
  <si>
    <t>Einrichtung</t>
  </si>
  <si>
    <t xml:space="preserve">Nutzungsart: </t>
  </si>
  <si>
    <t>Berechnung der Raumakustik
nach DIN 18041 für</t>
  </si>
  <si>
    <t>Quelle DIN 18041</t>
  </si>
  <si>
    <t>Bemerkung</t>
  </si>
  <si>
    <t>978-3-540-48830-9_BookBackMatter.pdf</t>
  </si>
  <si>
    <t>Quelle DIN 18041 OHNE Stuhlabsorption</t>
  </si>
  <si>
    <t>Person Audience stehend 1/6 m² Max. pro Person</t>
  </si>
  <si>
    <t>Person Audience sitzend ungepolst. Stuhl pro Person</t>
  </si>
  <si>
    <t>Person Audience sitzend leichtpost. Stuhl pro Person</t>
  </si>
  <si>
    <t>Person Audience sitzend hochpost. Stuhl pro Person</t>
  </si>
  <si>
    <t>Person Audience Kinder Vorschuleinrichtung</t>
  </si>
  <si>
    <t>Person Audience Kinder Primärstufe bis 11 Jahre</t>
  </si>
  <si>
    <t>Person Audience Kinder Sekundarstufe sitzend</t>
  </si>
  <si>
    <t>Person Audience stehend 1/6 m² Min. pro Person</t>
  </si>
  <si>
    <t>Person Büro männlich im Anzug sitzend pro Person</t>
  </si>
  <si>
    <t>Person Büro weiblich im Sommerkleid sitzend pro Person</t>
  </si>
  <si>
    <t>Stühle: einfacher Posterstuhl mit Textilbezug pro Stk.</t>
  </si>
  <si>
    <t>Stühle: einfacher Posterstuhl mit Kunstlederbezug pro Stk.</t>
  </si>
  <si>
    <t>Stühle: aus Holz oder Kunsstoff pro Stk.</t>
  </si>
  <si>
    <t>Stühle: Stapelstuhl gepolstert pro Stk.</t>
  </si>
  <si>
    <t>Stühle: Bürostuhl Polster pro Stk.</t>
  </si>
  <si>
    <t>Stühle: Bürostuhl Netzrücken pro Stk.</t>
  </si>
  <si>
    <t>N/A</t>
  </si>
  <si>
    <t>Schrank Bücherregal in Bibliothek offen pro m²</t>
  </si>
  <si>
    <t>Decke/Wand: Beton glatt gestrichen oder lackiert</t>
  </si>
  <si>
    <t>Decke/Wand: Sichtbackstein-Mauerwerk</t>
  </si>
  <si>
    <t>Decke/Wand: Mauerziegelwand, unverputzt, Fugen ausgestrichen</t>
  </si>
  <si>
    <t>Decke/Wand: Mauerwerk, Hohllochziegel, Löcher sichtbar, 60 mm vor Massivwand</t>
  </si>
  <si>
    <t>Decke/Wand: Glattputz</t>
  </si>
  <si>
    <t>Decke/Wand: Kalkzementputz</t>
  </si>
  <si>
    <t>Decke/Wand: Tapete auf Kalkzementputz</t>
  </si>
  <si>
    <t>Decke/Wand: Marmor, Fliesen, Klinker</t>
  </si>
  <si>
    <t xml:space="preserve">Decke/Wand: unverputzter Beton/Stuckgips, </t>
  </si>
  <si>
    <t>Fenster, Isolierverglasung</t>
  </si>
  <si>
    <t>Tür im Raum Holztür (Maserung)</t>
  </si>
  <si>
    <t>Tür im Raum Holz lackiert (glatt)</t>
  </si>
  <si>
    <t>Boden Parkettfußboden, aufgeklebt</t>
  </si>
  <si>
    <t>Boden Parkettfußboden, auf Blindboden</t>
  </si>
  <si>
    <t>Boden Parkettfußboden, hohlliegend</t>
  </si>
  <si>
    <t>Boden Teppich  bis 6 mm auf massivem Untergrund</t>
  </si>
  <si>
    <t>Boden Teppich  7-10 mm auf massivem Untergrund</t>
  </si>
  <si>
    <t>Boden Teppich Nadelfilz 7 mm auf massivem Untergrund</t>
  </si>
  <si>
    <t>Boden Teppich 5 mm mit 5 mm Filzunterlage auf massivem Untergrund</t>
  </si>
  <si>
    <t>Boden PVC-Fußbodenbelag (2,5 mm) auf Betonboden</t>
  </si>
  <si>
    <t>Boden Linoleum auf Beton</t>
  </si>
  <si>
    <t>Kino-Bildwand</t>
  </si>
  <si>
    <t>Bühnenöffnung mit Dekoration</t>
  </si>
  <si>
    <t>Decke/Wand: 15 mm Mineralplatte ungenadelt, 200 mm zur Rohdecke, ohne rückseitige Zusatzmaßnahmen</t>
  </si>
  <si>
    <t>Decke/Wand: 15 mm Mineralplatte fein genadelt, 200 mm zur Rohdecke, ohne rückseitige Zusatzmaßnahmen</t>
  </si>
  <si>
    <t>Decke/Wand: 15 mm Mineralplatte mit Vlieskaschierung, 200 mm zur Rohdecke, ohne rückseitige Zusatzmaßnahmen</t>
  </si>
  <si>
    <t>Decke/Wand: Gipsplatten Rasterdecke 8/18 Rundlochung, 15,5 % Lochflächenanteil, 200 mm zur Rohdecke, Akustikvlies, ohne Mineralwollauflage</t>
  </si>
  <si>
    <t>vitAcoustic Tiefenabsorber Wandabstand 20mm</t>
  </si>
  <si>
    <t>vitAcoustic Tiefenabsorber Wandabstand 400mm</t>
  </si>
  <si>
    <t>vitAcoustic Tiefenabsorber in Raumecke</t>
  </si>
  <si>
    <t>Quelle DIN 18041 umgerechnet auf Frontfläche m² Schrank 3 Ordnerhöhen (1,05 m) hoch, 1500 mm breit, 350 mm tief, Seitenwand, Rückwand und Frontklapptüren unperforiert, frei im Raum stehend</t>
  </si>
  <si>
    <t>Schrank Allg. mit Kunststoffbelägen</t>
  </si>
  <si>
    <t>Quelle DIN 18041 umgerechnet auf Frontfläche m² Schrank mit glatter Jalousie, ohne Rückwand, 1200 mm breit, 5 Ordnerhöhen (1,75 m) hoch, frei im Raum stehend</t>
  </si>
  <si>
    <t>Schrank Büro mit schallabs. Jalousie frei im Raum stehend per m² vert. Fläche</t>
  </si>
  <si>
    <t>Schrank Büro mit Jalousie frei im Raum stehend per m²  vert. Fläche</t>
  </si>
  <si>
    <t>Schrank Büro mit Tür frei im Raum stehend per m²  vert. Fläche</t>
  </si>
  <si>
    <t>Quelle DIN 18041 umgerechnet auf Frontfläche m² Schrank mit schallabsorbierender Jalousie, ohne Rückwand, 1200 mm, 5 Ordnerhöhen (1,75 m) hoch, frei im Raum stehend</t>
  </si>
  <si>
    <t>Tische Holztisch (angelehnt an Holztäfer)</t>
  </si>
  <si>
    <t>http://www.acoustic.ua/st/web_absorption_data_eng.pdf</t>
  </si>
  <si>
    <t>Tische Büroschreibtisch mit allem (Monitor, Papier) per Stk.</t>
  </si>
  <si>
    <t>Länge</t>
  </si>
  <si>
    <t>Breite</t>
  </si>
  <si>
    <t>Höhe</t>
  </si>
  <si>
    <r>
      <t>V [m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]</t>
    </r>
  </si>
  <si>
    <r>
      <t>S</t>
    </r>
    <r>
      <rPr>
        <vertAlign val="subscript"/>
        <sz val="10"/>
        <rFont val="Arial"/>
        <family val="2"/>
      </rPr>
      <t xml:space="preserve">Total </t>
    </r>
    <r>
      <rPr>
        <sz val="8"/>
        <rFont val="Arial"/>
        <family val="2"/>
      </rPr>
      <t>[m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>]</t>
    </r>
  </si>
  <si>
    <t>(Name, Firma bitte überschreiben)</t>
  </si>
  <si>
    <t>T(s) Sollwert gemäss DIN 18041 | Sollwert Toleranz hoch</t>
  </si>
  <si>
    <t>A/V Sollwert gemäss DIN 18041 | Sollwert Toleranz niedrig</t>
  </si>
  <si>
    <t>© Peter Jordan
www.Vital-Office.de</t>
  </si>
  <si>
    <t>(Objekt/Raum/Datum/Bearbeiter bitte überschreiben)</t>
  </si>
  <si>
    <t>Ab hier können Sie eigene Materialien eintragen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</si>
</sst>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2"/>
      <name val="Arial"/>
    </font>
    <font>
      <sz val="12"/>
      <name val="Arial"/>
    </font>
    <font>
      <u/>
      <sz val="12"/>
      <color indexed="12"/>
      <name val="Arial"/>
    </font>
    <font>
      <sz val="8"/>
      <name val="Arial"/>
    </font>
    <font>
      <b/>
      <sz val="12"/>
      <name val="Arial"/>
    </font>
    <font>
      <sz val="12"/>
      <name val="Arial"/>
    </font>
    <font>
      <b/>
      <sz val="12"/>
      <name val="Arial"/>
      <family val="2"/>
    </font>
    <font>
      <sz val="12"/>
      <name val="Arial"/>
      <family val="2"/>
    </font>
    <font>
      <sz val="12"/>
      <name val="Arial"/>
    </font>
    <font>
      <sz val="12"/>
      <name val="Arial"/>
    </font>
    <font>
      <sz val="12"/>
      <name val="Arial"/>
    </font>
    <font>
      <sz val="12"/>
      <name val="Arial"/>
    </font>
    <font>
      <sz val="12"/>
      <name val="Arial"/>
    </font>
    <font>
      <sz val="12"/>
      <name val="Arial"/>
    </font>
    <font>
      <sz val="12"/>
      <color indexed="10"/>
      <name val="Arial"/>
    </font>
    <font>
      <b/>
      <sz val="10"/>
      <color rgb="FF0000FF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vertAlign val="superscript"/>
      <sz val="10"/>
      <name val="Arial"/>
      <family val="2"/>
    </font>
    <font>
      <vertAlign val="subscript"/>
      <sz val="10"/>
      <name val="Arial"/>
      <family val="2"/>
    </font>
    <font>
      <u/>
      <sz val="10"/>
      <color indexed="12"/>
      <name val="Arial"/>
      <family val="2"/>
    </font>
    <font>
      <b/>
      <vertAlign val="subscript"/>
      <sz val="10"/>
      <name val="Arial"/>
      <family val="2"/>
    </font>
    <font>
      <b/>
      <vertAlign val="superscript"/>
      <sz val="10"/>
      <name val="Arial"/>
      <family val="2"/>
    </font>
    <font>
      <sz val="9"/>
      <name val="Arial"/>
      <family val="2"/>
    </font>
    <font>
      <u/>
      <sz val="9"/>
      <color indexed="12"/>
      <name val="Arial"/>
      <family val="2"/>
    </font>
    <font>
      <u/>
      <sz val="5"/>
      <color indexed="12"/>
      <name val="Arial"/>
      <family val="2"/>
    </font>
    <font>
      <u/>
      <sz val="7"/>
      <color indexed="12"/>
      <name val="Arial"/>
      <family val="2"/>
    </font>
    <font>
      <b/>
      <u/>
      <sz val="10"/>
      <color indexed="12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10"/>
      <color theme="1"/>
      <name val="Arial"/>
      <family val="2"/>
    </font>
    <font>
      <sz val="11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2" fontId="1" fillId="2" borderId="0" applyNumberFormat="0" applyFont="0" applyBorder="0" applyAlignment="0">
      <protection locked="0"/>
    </xf>
    <xf numFmtId="0" fontId="2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0" fillId="0" borderId="0" xfId="0" applyBorder="1" applyAlignment="1">
      <alignment vertical="top"/>
    </xf>
    <xf numFmtId="0" fontId="16" fillId="0" borderId="0" xfId="0" applyFont="1" applyBorder="1" applyAlignment="1" applyProtection="1">
      <alignment vertical="top"/>
    </xf>
    <xf numFmtId="0" fontId="17" fillId="0" borderId="0" xfId="0" applyFont="1" applyBorder="1" applyAlignment="1" applyProtection="1">
      <alignment vertical="top"/>
    </xf>
    <xf numFmtId="0" fontId="17" fillId="0" borderId="0" xfId="0" applyFont="1" applyFill="1" applyBorder="1" applyAlignment="1" applyProtection="1">
      <alignment vertical="top"/>
    </xf>
    <xf numFmtId="0" fontId="16" fillId="0" borderId="12" xfId="0" applyFont="1" applyBorder="1" applyAlignment="1" applyProtection="1">
      <alignment vertical="top"/>
    </xf>
    <xf numFmtId="0" fontId="16" fillId="0" borderId="10" xfId="0" applyFont="1" applyBorder="1" applyAlignment="1" applyProtection="1">
      <alignment vertical="top"/>
    </xf>
    <xf numFmtId="0" fontId="17" fillId="0" borderId="9" xfId="0" applyFont="1" applyBorder="1" applyAlignment="1" applyProtection="1">
      <alignment vertical="top"/>
    </xf>
    <xf numFmtId="0" fontId="17" fillId="0" borderId="7" xfId="0" applyFont="1" applyBorder="1" applyAlignment="1" applyProtection="1">
      <alignment vertical="top"/>
    </xf>
    <xf numFmtId="0" fontId="17" fillId="0" borderId="9" xfId="0" applyFont="1" applyBorder="1" applyAlignment="1" applyProtection="1">
      <alignment horizontal="center" vertical="top"/>
    </xf>
    <xf numFmtId="0" fontId="17" fillId="0" borderId="1" xfId="0" applyFont="1" applyBorder="1" applyAlignment="1" applyProtection="1">
      <alignment horizontal="center" vertical="top"/>
    </xf>
    <xf numFmtId="0" fontId="17" fillId="0" borderId="7" xfId="0" applyFont="1" applyBorder="1" applyAlignment="1" applyProtection="1">
      <alignment horizontal="center" vertical="top"/>
    </xf>
    <xf numFmtId="0" fontId="6" fillId="0" borderId="0" xfId="0" applyFont="1" applyBorder="1" applyAlignment="1" applyProtection="1">
      <alignment vertical="top"/>
    </xf>
    <xf numFmtId="2" fontId="17" fillId="0" borderId="0" xfId="0" applyNumberFormat="1" applyFont="1" applyBorder="1" applyAlignment="1" applyProtection="1">
      <alignment vertical="top"/>
    </xf>
    <xf numFmtId="0" fontId="17" fillId="3" borderId="0" xfId="1" applyNumberFormat="1" applyFont="1" applyFill="1" applyBorder="1" applyAlignment="1">
      <alignment vertical="top"/>
      <protection locked="0"/>
    </xf>
    <xf numFmtId="2" fontId="17" fillId="3" borderId="0" xfId="1" applyNumberFormat="1" applyFont="1" applyFill="1" applyBorder="1" applyAlignment="1">
      <alignment vertical="top"/>
      <protection locked="0"/>
    </xf>
    <xf numFmtId="0" fontId="17" fillId="0" borderId="0" xfId="0" applyFont="1" applyFill="1" applyBorder="1" applyAlignment="1" applyProtection="1">
      <alignment horizontal="right" vertical="top"/>
    </xf>
    <xf numFmtId="2" fontId="17" fillId="0" borderId="0" xfId="0" applyNumberFormat="1" applyFont="1" applyFill="1" applyBorder="1" applyAlignment="1" applyProtection="1">
      <alignment vertical="top"/>
    </xf>
    <xf numFmtId="0" fontId="17" fillId="0" borderId="0" xfId="0" applyFont="1" applyBorder="1" applyAlignment="1">
      <alignment vertical="top"/>
    </xf>
    <xf numFmtId="0" fontId="16" fillId="5" borderId="0" xfId="0" applyFont="1" applyFill="1" applyBorder="1" applyAlignment="1" applyProtection="1">
      <alignment vertical="top"/>
    </xf>
    <xf numFmtId="2" fontId="16" fillId="5" borderId="0" xfId="0" applyNumberFormat="1" applyFont="1" applyFill="1" applyBorder="1" applyAlignment="1" applyProtection="1">
      <alignment vertical="top"/>
    </xf>
    <xf numFmtId="2" fontId="17" fillId="0" borderId="0" xfId="1" applyNumberFormat="1" applyFont="1" applyFill="1" applyBorder="1" applyAlignment="1">
      <alignment horizontal="right" vertical="top"/>
      <protection locked="0"/>
    </xf>
    <xf numFmtId="0" fontId="17" fillId="5" borderId="0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vertical="top"/>
    </xf>
    <xf numFmtId="2" fontId="16" fillId="0" borderId="0" xfId="0" applyNumberFormat="1" applyFont="1" applyFill="1" applyBorder="1" applyAlignment="1" applyProtection="1">
      <alignment vertical="top"/>
    </xf>
    <xf numFmtId="0" fontId="15" fillId="0" borderId="0" xfId="0" applyFont="1" applyBorder="1" applyAlignment="1" applyProtection="1">
      <alignment horizontal="right" vertical="center" wrapText="1"/>
    </xf>
    <xf numFmtId="2" fontId="29" fillId="0" borderId="0" xfId="0" applyNumberFormat="1" applyFont="1" applyFill="1" applyBorder="1" applyAlignment="1" applyProtection="1">
      <alignment vertical="top"/>
    </xf>
    <xf numFmtId="0" fontId="29" fillId="0" borderId="0" xfId="0" applyFont="1" applyFill="1" applyBorder="1" applyAlignment="1" applyProtection="1">
      <alignment horizontal="right" vertical="top"/>
    </xf>
    <xf numFmtId="0" fontId="17" fillId="0" borderId="11" xfId="0" applyFont="1" applyFill="1" applyBorder="1" applyAlignment="1" applyProtection="1">
      <alignment horizontal="left" vertical="top"/>
    </xf>
    <xf numFmtId="0" fontId="32" fillId="3" borderId="8" xfId="1" applyNumberFormat="1" applyFont="1" applyFill="1" applyBorder="1" applyAlignment="1">
      <alignment vertical="top"/>
      <protection locked="0"/>
    </xf>
    <xf numFmtId="0" fontId="17" fillId="0" borderId="11" xfId="0" applyFont="1" applyFill="1" applyBorder="1" applyAlignment="1" applyProtection="1">
      <alignment vertical="top"/>
    </xf>
    <xf numFmtId="2" fontId="16" fillId="3" borderId="8" xfId="1" applyNumberFormat="1" applyFont="1" applyFill="1" applyBorder="1" applyAlignment="1">
      <alignment vertical="top"/>
      <protection locked="0"/>
    </xf>
    <xf numFmtId="0" fontId="17" fillId="0" borderId="11" xfId="1" applyNumberFormat="1" applyFont="1" applyFill="1" applyBorder="1" applyAlignment="1">
      <alignment vertical="top"/>
      <protection locked="0"/>
    </xf>
    <xf numFmtId="0" fontId="17" fillId="0" borderId="12" xfId="0" applyFont="1" applyBorder="1" applyAlignment="1" applyProtection="1">
      <alignment vertical="top"/>
    </xf>
    <xf numFmtId="0" fontId="17" fillId="0" borderId="10" xfId="0" applyFont="1" applyFill="1" applyBorder="1" applyAlignment="1" applyProtection="1">
      <alignment horizontal="center" vertical="top"/>
    </xf>
    <xf numFmtId="0" fontId="17" fillId="0" borderId="9" xfId="0" applyFont="1" applyFill="1" applyBorder="1" applyAlignment="1" applyProtection="1">
      <alignment vertical="top"/>
    </xf>
    <xf numFmtId="2" fontId="16" fillId="0" borderId="7" xfId="0" applyNumberFormat="1" applyFont="1" applyFill="1" applyBorder="1" applyAlignment="1" applyProtection="1">
      <alignment vertical="top"/>
    </xf>
    <xf numFmtId="0" fontId="17" fillId="0" borderId="12" xfId="1" applyNumberFormat="1" applyFont="1" applyFill="1" applyBorder="1" applyAlignment="1">
      <alignment vertical="top"/>
      <protection locked="0"/>
    </xf>
    <xf numFmtId="0" fontId="17" fillId="0" borderId="10" xfId="0" applyFont="1" applyFill="1" applyBorder="1" applyAlignment="1" applyProtection="1">
      <alignment horizontal="right" vertical="top"/>
    </xf>
    <xf numFmtId="2" fontId="17" fillId="0" borderId="0" xfId="0" applyNumberFormat="1" applyFont="1" applyFill="1" applyBorder="1" applyAlignment="1" applyProtection="1">
      <alignment horizontal="right" vertical="top"/>
    </xf>
    <xf numFmtId="0" fontId="17" fillId="0" borderId="4" xfId="0" applyFont="1" applyFill="1" applyBorder="1" applyAlignment="1" applyProtection="1">
      <alignment vertical="top"/>
    </xf>
    <xf numFmtId="2" fontId="17" fillId="0" borderId="5" xfId="0" applyNumberFormat="1" applyFont="1" applyFill="1" applyBorder="1" applyAlignment="1" applyProtection="1">
      <alignment horizontal="right" vertical="top"/>
    </xf>
    <xf numFmtId="2" fontId="17" fillId="0" borderId="5" xfId="0" applyNumberFormat="1" applyFont="1" applyFill="1" applyBorder="1" applyAlignment="1" applyProtection="1">
      <alignment vertical="top"/>
    </xf>
    <xf numFmtId="0" fontId="17" fillId="0" borderId="5" xfId="0" applyFont="1" applyFill="1" applyBorder="1" applyAlignment="1" applyProtection="1">
      <alignment vertical="top"/>
    </xf>
    <xf numFmtId="0" fontId="17" fillId="0" borderId="0" xfId="0" applyFont="1" applyBorder="1" applyAlignment="1" applyProtection="1">
      <alignment vertical="top"/>
      <protection hidden="1"/>
    </xf>
    <xf numFmtId="0" fontId="18" fillId="0" borderId="0" xfId="0" applyFont="1" applyBorder="1" applyAlignment="1" applyProtection="1">
      <alignment vertical="top"/>
      <protection hidden="1"/>
    </xf>
    <xf numFmtId="0" fontId="17" fillId="0" borderId="0" xfId="0" applyFont="1" applyBorder="1" applyAlignment="1" applyProtection="1">
      <alignment horizontal="right" vertical="top"/>
      <protection hidden="1"/>
    </xf>
    <xf numFmtId="0" fontId="17" fillId="0" borderId="0" xfId="0" applyFont="1" applyFill="1" applyBorder="1" applyAlignment="1" applyProtection="1">
      <alignment vertical="top"/>
      <protection hidden="1"/>
    </xf>
    <xf numFmtId="0" fontId="21" fillId="0" borderId="0" xfId="2" applyFont="1" applyBorder="1" applyAlignment="1" applyProtection="1">
      <alignment vertical="top"/>
      <protection hidden="1"/>
    </xf>
    <xf numFmtId="0" fontId="17" fillId="0" borderId="0" xfId="0" applyFont="1" applyBorder="1" applyAlignment="1" applyProtection="1">
      <alignment horizontal="left" vertical="top"/>
      <protection hidden="1"/>
    </xf>
    <xf numFmtId="0" fontId="17" fillId="0" borderId="9" xfId="0" applyFont="1" applyBorder="1" applyAlignment="1" applyProtection="1">
      <alignment horizontal="center" vertical="top"/>
      <protection hidden="1"/>
    </xf>
    <xf numFmtId="0" fontId="17" fillId="0" borderId="1" xfId="0" applyFont="1" applyBorder="1" applyAlignment="1" applyProtection="1">
      <alignment horizontal="center" vertical="top"/>
      <protection hidden="1"/>
    </xf>
    <xf numFmtId="0" fontId="17" fillId="0" borderId="7" xfId="0" applyFont="1" applyBorder="1" applyAlignment="1" applyProtection="1">
      <alignment horizontal="center" vertical="top"/>
      <protection hidden="1"/>
    </xf>
    <xf numFmtId="164" fontId="17" fillId="0" borderId="0" xfId="0" applyNumberFormat="1" applyFont="1" applyBorder="1" applyAlignment="1" applyProtection="1">
      <alignment vertical="top"/>
      <protection hidden="1"/>
    </xf>
    <xf numFmtId="2" fontId="17" fillId="0" borderId="0" xfId="0" applyNumberFormat="1" applyFont="1" applyBorder="1" applyAlignment="1" applyProtection="1">
      <alignment vertical="top"/>
      <protection hidden="1"/>
    </xf>
    <xf numFmtId="0" fontId="17" fillId="0" borderId="5" xfId="0" applyFont="1" applyFill="1" applyBorder="1" applyAlignment="1" applyProtection="1">
      <alignment vertical="top"/>
      <protection hidden="1"/>
    </xf>
    <xf numFmtId="2" fontId="18" fillId="0" borderId="5" xfId="0" applyNumberFormat="1" applyFont="1" applyFill="1" applyBorder="1" applyAlignment="1" applyProtection="1">
      <alignment vertical="top"/>
      <protection hidden="1"/>
    </xf>
    <xf numFmtId="2" fontId="17" fillId="0" borderId="0" xfId="0" applyNumberFormat="1" applyFont="1" applyFill="1" applyBorder="1" applyAlignment="1" applyProtection="1">
      <alignment vertical="top"/>
      <protection hidden="1"/>
    </xf>
    <xf numFmtId="2" fontId="18" fillId="0" borderId="0" xfId="0" applyNumberFormat="1" applyFont="1" applyFill="1" applyBorder="1" applyAlignment="1" applyProtection="1">
      <alignment vertical="top"/>
      <protection hidden="1"/>
    </xf>
    <xf numFmtId="0" fontId="16" fillId="0" borderId="0" xfId="0" applyFont="1" applyFill="1" applyBorder="1" applyAlignment="1" applyProtection="1">
      <alignment vertical="top"/>
      <protection hidden="1"/>
    </xf>
    <xf numFmtId="0" fontId="24" fillId="0" borderId="0" xfId="0" applyFont="1" applyFill="1" applyBorder="1" applyAlignment="1" applyProtection="1">
      <alignment vertical="top"/>
      <protection hidden="1"/>
    </xf>
    <xf numFmtId="0" fontId="17" fillId="0" borderId="0" xfId="0" applyFont="1" applyAlignment="1" applyProtection="1">
      <alignment vertical="top"/>
      <protection hidden="1"/>
    </xf>
    <xf numFmtId="2" fontId="17" fillId="0" borderId="0" xfId="0" applyNumberFormat="1" applyFont="1" applyAlignment="1" applyProtection="1">
      <alignment vertical="top"/>
      <protection hidden="1"/>
    </xf>
    <xf numFmtId="0" fontId="16" fillId="0" borderId="0" xfId="0" applyFont="1" applyAlignment="1" applyProtection="1">
      <alignment vertical="top"/>
      <protection hidden="1"/>
    </xf>
    <xf numFmtId="0" fontId="17" fillId="0" borderId="0" xfId="0" applyFont="1" applyAlignment="1" applyProtection="1">
      <alignment vertical="top" wrapText="1"/>
      <protection hidden="1"/>
    </xf>
    <xf numFmtId="0" fontId="4" fillId="0" borderId="7" xfId="0" applyFont="1" applyFill="1" applyBorder="1" applyAlignment="1" applyProtection="1">
      <alignment horizontal="left"/>
    </xf>
    <xf numFmtId="0" fontId="6" fillId="0" borderId="8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0" fontId="4" fillId="0" borderId="9" xfId="0" applyFont="1" applyFill="1" applyBorder="1" applyAlignment="1" applyProtection="1">
      <alignment horizontal="center"/>
    </xf>
    <xf numFmtId="0" fontId="14" fillId="0" borderId="6" xfId="0" applyFont="1" applyFill="1" applyBorder="1" applyProtection="1"/>
    <xf numFmtId="2" fontId="14" fillId="0" borderId="3" xfId="0" applyNumberFormat="1" applyFont="1" applyFill="1" applyBorder="1" applyProtection="1"/>
    <xf numFmtId="2" fontId="14" fillId="0" borderId="4" xfId="0" applyNumberFormat="1" applyFont="1" applyFill="1" applyBorder="1" applyProtection="1"/>
    <xf numFmtId="2" fontId="0" fillId="0" borderId="9" xfId="0" applyNumberFormat="1" applyFont="1" applyFill="1" applyBorder="1" applyProtection="1"/>
    <xf numFmtId="0" fontId="7" fillId="0" borderId="6" xfId="0" applyFont="1" applyFill="1" applyBorder="1" applyProtection="1"/>
    <xf numFmtId="2" fontId="7" fillId="0" borderId="3" xfId="0" applyNumberFormat="1" applyFont="1" applyFill="1" applyBorder="1" applyProtection="1"/>
    <xf numFmtId="2" fontId="7" fillId="0" borderId="4" xfId="0" applyNumberFormat="1" applyFont="1" applyFill="1" applyBorder="1" applyProtection="1"/>
    <xf numFmtId="2" fontId="0" fillId="0" borderId="4" xfId="0" applyNumberFormat="1" applyFont="1" applyFill="1" applyBorder="1" applyProtection="1"/>
    <xf numFmtId="0" fontId="0" fillId="4" borderId="6" xfId="0" applyFont="1" applyFill="1" applyBorder="1" applyProtection="1"/>
    <xf numFmtId="2" fontId="5" fillId="4" borderId="3" xfId="0" applyNumberFormat="1" applyFont="1" applyFill="1" applyBorder="1" applyProtection="1"/>
    <xf numFmtId="2" fontId="5" fillId="4" borderId="4" xfId="0" applyNumberFormat="1" applyFont="1" applyFill="1" applyBorder="1" applyProtection="1"/>
    <xf numFmtId="2" fontId="0" fillId="4" borderId="4" xfId="0" applyNumberFormat="1" applyFont="1" applyFill="1" applyBorder="1" applyProtection="1"/>
    <xf numFmtId="2" fontId="0" fillId="4" borderId="3" xfId="0" applyNumberFormat="1" applyFont="1" applyFill="1" applyBorder="1" applyProtection="1"/>
    <xf numFmtId="0" fontId="0" fillId="7" borderId="6" xfId="0" applyFont="1" applyFill="1" applyBorder="1" applyProtection="1"/>
    <xf numFmtId="2" fontId="0" fillId="7" borderId="3" xfId="0" applyNumberFormat="1" applyFont="1" applyFill="1" applyBorder="1" applyProtection="1"/>
    <xf numFmtId="2" fontId="0" fillId="7" borderId="4" xfId="0" applyNumberFormat="1" applyFont="1" applyFill="1" applyBorder="1" applyProtection="1"/>
    <xf numFmtId="2" fontId="5" fillId="7" borderId="3" xfId="0" applyNumberFormat="1" applyFont="1" applyFill="1" applyBorder="1" applyProtection="1"/>
    <xf numFmtId="2" fontId="5" fillId="7" borderId="4" xfId="0" applyNumberFormat="1" applyFont="1" applyFill="1" applyBorder="1" applyProtection="1"/>
    <xf numFmtId="0" fontId="0" fillId="0" borderId="6" xfId="0" applyFont="1" applyFill="1" applyBorder="1" applyProtection="1"/>
    <xf numFmtId="2" fontId="0" fillId="0" borderId="3" xfId="0" applyNumberFormat="1" applyFont="1" applyFill="1" applyBorder="1" applyProtection="1"/>
    <xf numFmtId="2" fontId="0" fillId="6" borderId="4" xfId="0" applyNumberFormat="1" applyFont="1" applyFill="1" applyBorder="1" applyProtection="1"/>
    <xf numFmtId="0" fontId="5" fillId="0" borderId="6" xfId="0" applyFont="1" applyFill="1" applyBorder="1" applyProtection="1"/>
    <xf numFmtId="2" fontId="5" fillId="0" borderId="3" xfId="0" applyNumberFormat="1" applyFont="1" applyFill="1" applyBorder="1" applyProtection="1"/>
    <xf numFmtId="2" fontId="5" fillId="0" borderId="4" xfId="0" applyNumberFormat="1" applyFont="1" applyFill="1" applyBorder="1" applyProtection="1"/>
    <xf numFmtId="0" fontId="0" fillId="6" borderId="6" xfId="0" applyFont="1" applyFill="1" applyBorder="1" applyProtection="1"/>
    <xf numFmtId="2" fontId="0" fillId="6" borderId="3" xfId="0" applyNumberFormat="1" applyFont="1" applyFill="1" applyBorder="1" applyProtection="1"/>
    <xf numFmtId="0" fontId="7" fillId="6" borderId="6" xfId="0" applyFont="1" applyFill="1" applyBorder="1" applyProtection="1"/>
    <xf numFmtId="2" fontId="7" fillId="6" borderId="3" xfId="0" applyNumberFormat="1" applyFont="1" applyFill="1" applyBorder="1" applyProtection="1"/>
    <xf numFmtId="2" fontId="7" fillId="6" borderId="4" xfId="0" applyNumberFormat="1" applyFont="1" applyFill="1" applyBorder="1" applyProtection="1"/>
    <xf numFmtId="2" fontId="5" fillId="6" borderId="3" xfId="0" applyNumberFormat="1" applyFont="1" applyFill="1" applyBorder="1" applyProtection="1"/>
    <xf numFmtId="2" fontId="5" fillId="6" borderId="4" xfId="0" applyNumberFormat="1" applyFont="1" applyFill="1" applyBorder="1" applyProtection="1"/>
    <xf numFmtId="2" fontId="1" fillId="0" borderId="3" xfId="0" applyNumberFormat="1" applyFont="1" applyFill="1" applyBorder="1" applyProtection="1"/>
    <xf numFmtId="2" fontId="1" fillId="0" borderId="4" xfId="0" applyNumberFormat="1" applyFont="1" applyFill="1" applyBorder="1" applyProtection="1"/>
    <xf numFmtId="2" fontId="0" fillId="0" borderId="4" xfId="0" applyNumberFormat="1" applyFont="1" applyFill="1" applyBorder="1" applyAlignment="1" applyProtection="1">
      <alignment wrapText="1"/>
    </xf>
    <xf numFmtId="0" fontId="8" fillId="0" borderId="6" xfId="0" applyFont="1" applyFill="1" applyBorder="1" applyProtection="1"/>
    <xf numFmtId="0" fontId="13" fillId="0" borderId="6" xfId="0" applyFont="1" applyFill="1" applyBorder="1" applyProtection="1"/>
    <xf numFmtId="2" fontId="12" fillId="0" borderId="3" xfId="0" applyNumberFormat="1" applyFont="1" applyFill="1" applyBorder="1" applyProtection="1"/>
    <xf numFmtId="2" fontId="11" fillId="0" borderId="3" xfId="0" applyNumberFormat="1" applyFont="1" applyFill="1" applyBorder="1" applyProtection="1"/>
    <xf numFmtId="2" fontId="10" fillId="0" borderId="3" xfId="0" applyNumberFormat="1" applyFont="1" applyFill="1" applyBorder="1" applyProtection="1"/>
    <xf numFmtId="2" fontId="9" fillId="0" borderId="3" xfId="0" applyNumberFormat="1" applyFont="1" applyFill="1" applyBorder="1" applyProtection="1"/>
    <xf numFmtId="2" fontId="9" fillId="0" borderId="4" xfId="0" applyNumberFormat="1" applyFont="1" applyFill="1" applyBorder="1" applyProtection="1"/>
    <xf numFmtId="0" fontId="0" fillId="0" borderId="10" xfId="0" applyFont="1" applyFill="1" applyBorder="1" applyProtection="1"/>
    <xf numFmtId="2" fontId="12" fillId="0" borderId="11" xfId="0" applyNumberFormat="1" applyFont="1" applyFill="1" applyBorder="1" applyProtection="1"/>
    <xf numFmtId="2" fontId="11" fillId="0" borderId="11" xfId="0" applyNumberFormat="1" applyFont="1" applyFill="1" applyBorder="1" applyProtection="1"/>
    <xf numFmtId="2" fontId="10" fillId="0" borderId="11" xfId="0" applyNumberFormat="1" applyFont="1" applyFill="1" applyBorder="1" applyProtection="1"/>
    <xf numFmtId="2" fontId="9" fillId="0" borderId="11" xfId="0" applyNumberFormat="1" applyFont="1" applyFill="1" applyBorder="1" applyProtection="1"/>
    <xf numFmtId="2" fontId="9" fillId="0" borderId="12" xfId="0" applyNumberFormat="1" applyFont="1" applyFill="1" applyBorder="1" applyProtection="1"/>
    <xf numFmtId="2" fontId="0" fillId="6" borderId="12" xfId="0" applyNumberFormat="1" applyFont="1" applyFill="1" applyBorder="1" applyProtection="1"/>
    <xf numFmtId="0" fontId="5" fillId="0" borderId="0" xfId="0" applyFont="1" applyFill="1" applyProtection="1">
      <protection locked="0"/>
    </xf>
    <xf numFmtId="0" fontId="5" fillId="4" borderId="0" xfId="0" applyFont="1" applyFill="1" applyProtection="1">
      <protection locked="0"/>
    </xf>
    <xf numFmtId="0" fontId="5" fillId="4" borderId="0" xfId="0" applyFont="1" applyFill="1" applyAlignment="1" applyProtection="1">
      <alignment wrapText="1"/>
      <protection locked="0"/>
    </xf>
    <xf numFmtId="0" fontId="5" fillId="7" borderId="0" xfId="0" applyFont="1" applyFill="1" applyProtection="1">
      <protection locked="0"/>
    </xf>
    <xf numFmtId="0" fontId="5" fillId="6" borderId="0" xfId="0" applyFont="1" applyFill="1" applyProtection="1">
      <protection locked="0"/>
    </xf>
    <xf numFmtId="0" fontId="5" fillId="0" borderId="0" xfId="0" applyFont="1" applyFill="1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0" borderId="0" xfId="0" applyFont="1" applyFill="1" applyProtection="1"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33" fillId="0" borderId="1" xfId="2" applyFont="1" applyBorder="1" applyAlignment="1" applyProtection="1">
      <alignment horizontal="right" vertical="center" wrapText="1"/>
    </xf>
    <xf numFmtId="0" fontId="17" fillId="4" borderId="12" xfId="0" applyFont="1" applyFill="1" applyBorder="1" applyAlignment="1" applyProtection="1">
      <alignment horizontal="center" vertical="center" wrapText="1"/>
      <protection locked="0"/>
    </xf>
    <xf numFmtId="0" fontId="17" fillId="4" borderId="2" xfId="0" applyFont="1" applyFill="1" applyBorder="1" applyAlignment="1" applyProtection="1">
      <alignment horizontal="center" vertical="center" wrapText="1"/>
      <protection locked="0"/>
    </xf>
    <xf numFmtId="0" fontId="17" fillId="4" borderId="10" xfId="0" applyFont="1" applyFill="1" applyBorder="1" applyAlignment="1" applyProtection="1">
      <alignment horizontal="center" vertical="center" wrapText="1"/>
      <protection locked="0"/>
    </xf>
    <xf numFmtId="0" fontId="17" fillId="4" borderId="9" xfId="0" applyFont="1" applyFill="1" applyBorder="1" applyAlignment="1" applyProtection="1">
      <alignment horizontal="center" vertical="center" wrapText="1"/>
      <protection locked="0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0" fontId="17" fillId="4" borderId="7" xfId="0" applyFont="1" applyFill="1" applyBorder="1" applyAlignment="1" applyProtection="1">
      <alignment horizontal="center" vertical="center" wrapText="1"/>
      <protection locked="0"/>
    </xf>
    <xf numFmtId="0" fontId="16" fillId="0" borderId="12" xfId="0" applyFont="1" applyBorder="1" applyAlignment="1" applyProtection="1">
      <alignment horizontal="center" vertical="top"/>
    </xf>
    <xf numFmtId="0" fontId="16" fillId="0" borderId="2" xfId="0" applyFont="1" applyBorder="1" applyAlignment="1" applyProtection="1">
      <alignment horizontal="center" vertical="top"/>
    </xf>
    <xf numFmtId="0" fontId="16" fillId="0" borderId="10" xfId="0" applyFont="1" applyBorder="1" applyAlignment="1" applyProtection="1">
      <alignment horizontal="center" vertical="top"/>
    </xf>
    <xf numFmtId="0" fontId="16" fillId="0" borderId="12" xfId="0" applyFont="1" applyBorder="1" applyAlignment="1" applyProtection="1">
      <alignment horizontal="center" vertical="top"/>
      <protection hidden="1"/>
    </xf>
    <xf numFmtId="0" fontId="16" fillId="0" borderId="2" xfId="0" applyFont="1" applyBorder="1" applyAlignment="1" applyProtection="1">
      <alignment horizontal="center" vertical="top"/>
      <protection hidden="1"/>
    </xf>
    <xf numFmtId="0" fontId="16" fillId="0" borderId="10" xfId="0" applyFont="1" applyBorder="1" applyAlignment="1" applyProtection="1">
      <alignment horizontal="center" vertical="top"/>
      <protection hidden="1"/>
    </xf>
    <xf numFmtId="0" fontId="16" fillId="0" borderId="0" xfId="0" applyFont="1" applyFill="1" applyBorder="1" applyAlignment="1" applyProtection="1">
      <alignment vertical="top"/>
      <protection locked="0"/>
    </xf>
    <xf numFmtId="2" fontId="16" fillId="0" borderId="0" xfId="0" applyNumberFormat="1" applyFont="1" applyFill="1" applyBorder="1" applyAlignment="1" applyProtection="1">
      <alignment vertical="top"/>
      <protection locked="0"/>
    </xf>
    <xf numFmtId="0" fontId="25" fillId="0" borderId="0" xfId="2" applyFont="1" applyFill="1" applyBorder="1" applyAlignment="1" applyProtection="1">
      <alignment vertical="top"/>
      <protection locked="0"/>
    </xf>
    <xf numFmtId="0" fontId="17" fillId="0" borderId="0" xfId="0" applyFont="1" applyFill="1" applyBorder="1" applyAlignment="1" applyProtection="1">
      <alignment vertical="top"/>
      <protection locked="0"/>
    </xf>
    <xf numFmtId="0" fontId="17" fillId="0" borderId="0" xfId="0" applyFont="1" applyBorder="1" applyAlignment="1" applyProtection="1">
      <alignment vertical="top"/>
      <protection locked="0"/>
    </xf>
  </cellXfs>
  <cellStyles count="3">
    <cellStyle name="Eingabefeld" xfId="1"/>
    <cellStyle name="Link" xfId="2" builtinId="8"/>
    <cellStyle name="Standard" xfId="0" builtinId="0"/>
  </cellStyles>
  <dxfs count="15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DDDDDD"/>
      <rgbColor rgb="0000CCFF"/>
      <rgbColor rgb="00CCFFFF"/>
      <rgbColor rgb="00CCFFCC"/>
      <rgbColor rgb="00FFFF99"/>
      <rgbColor rgb="0099CCFF"/>
      <rgbColor rgb="00FF99CC"/>
      <rgbColor rgb="00DDDDDD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Nachhallzeit T(s)</a:t>
            </a:r>
          </a:p>
          <a:p>
            <a:pPr>
              <a:defRPr/>
            </a:pPr>
            <a:r>
              <a:rPr lang="en-US"/>
              <a:t>für Räume</a:t>
            </a:r>
            <a:r>
              <a:rPr lang="en-US" baseline="0"/>
              <a:t> Typ A</a:t>
            </a:r>
          </a:p>
        </c:rich>
      </c:tx>
      <c:layout>
        <c:manualLayout>
          <c:xMode val="edge"/>
          <c:yMode val="edge"/>
          <c:x val="0.4213861790766088"/>
          <c:y val="5.3912860892388455E-2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27641698420706E-2"/>
          <c:y val="4.0305020144174988E-2"/>
          <c:w val="0.92016494835373885"/>
          <c:h val="0.86702831507634781"/>
        </c:manualLayout>
      </c:layout>
      <c:areaChart>
        <c:grouping val="standard"/>
        <c:varyColors val="0"/>
        <c:ser>
          <c:idx val="0"/>
          <c:order val="0"/>
          <c:tx>
            <c:v>Toleranzbereich DIN 18041</c:v>
          </c:tx>
          <c:spPr>
            <a:solidFill>
              <a:schemeClr val="tx2">
                <a:lumMod val="40000"/>
                <a:lumOff val="60000"/>
                <a:alpha val="38000"/>
              </a:schemeClr>
            </a:solidFill>
            <a:ln>
              <a:noFill/>
            </a:ln>
            <a:effectLst/>
          </c:spPr>
          <c:cat>
            <c:strRef>
              <c:f>'VO01'!$C$10:$H$10</c:f>
              <c:strCache>
                <c:ptCount val="6"/>
                <c:pt idx="0">
                  <c:v>125 Hz</c:v>
                </c:pt>
                <c:pt idx="1">
                  <c:v>250 Hz</c:v>
                </c:pt>
                <c:pt idx="2">
                  <c:v>500 Hz</c:v>
                </c:pt>
                <c:pt idx="3">
                  <c:v>1 kHz</c:v>
                </c:pt>
                <c:pt idx="4">
                  <c:v>2 kHz</c:v>
                </c:pt>
                <c:pt idx="5">
                  <c:v>4 kHz</c:v>
                </c:pt>
              </c:strCache>
            </c:strRef>
          </c:cat>
          <c:val>
            <c:numRef>
              <c:f>'VO01'!$C$6:$H$6</c:f>
              <c:numCache>
                <c:formatCode>0.00</c:formatCode>
                <c:ptCount val="6"/>
                <c:pt idx="0">
                  <c:v>0.82417816159173074</c:v>
                </c:pt>
                <c:pt idx="1">
                  <c:v>0.68207847855867376</c:v>
                </c:pt>
                <c:pt idx="2">
                  <c:v>0.68207847855867376</c:v>
                </c:pt>
                <c:pt idx="3">
                  <c:v>0.68207847855867376</c:v>
                </c:pt>
                <c:pt idx="4">
                  <c:v>0.68207847855867376</c:v>
                </c:pt>
                <c:pt idx="5">
                  <c:v>0.68207847855867376</c:v>
                </c:pt>
              </c:numCache>
            </c:numRef>
          </c:val>
        </c:ser>
        <c:ser>
          <c:idx val="1"/>
          <c:order val="1"/>
          <c:tx>
            <c:v>Toleranz niedrig</c:v>
          </c:tx>
          <c:spPr>
            <a:solidFill>
              <a:schemeClr val="bg1">
                <a:alpha val="71000"/>
              </a:schemeClr>
            </a:solidFill>
            <a:ln>
              <a:noFill/>
            </a:ln>
            <a:effectLst/>
          </c:spPr>
          <c:cat>
            <c:strRef>
              <c:f>'VO01'!$C$10:$H$10</c:f>
              <c:strCache>
                <c:ptCount val="6"/>
                <c:pt idx="0">
                  <c:v>125 Hz</c:v>
                </c:pt>
                <c:pt idx="1">
                  <c:v>250 Hz</c:v>
                </c:pt>
                <c:pt idx="2">
                  <c:v>500 Hz</c:v>
                </c:pt>
                <c:pt idx="3">
                  <c:v>1 kHz</c:v>
                </c:pt>
                <c:pt idx="4">
                  <c:v>2 kHz</c:v>
                </c:pt>
                <c:pt idx="5">
                  <c:v>4 kHz</c:v>
                </c:pt>
              </c:strCache>
            </c:strRef>
          </c:cat>
          <c:val>
            <c:numRef>
              <c:f>'VO01'!$C$7:$H$7</c:f>
              <c:numCache>
                <c:formatCode>0.00</c:formatCode>
                <c:ptCount val="6"/>
                <c:pt idx="0">
                  <c:v>0.36945917588594829</c:v>
                </c:pt>
                <c:pt idx="1">
                  <c:v>0.45471898570578251</c:v>
                </c:pt>
                <c:pt idx="2">
                  <c:v>0.45471898570578251</c:v>
                </c:pt>
                <c:pt idx="3">
                  <c:v>0.45471898570578251</c:v>
                </c:pt>
                <c:pt idx="4">
                  <c:v>0.45471898570578251</c:v>
                </c:pt>
                <c:pt idx="5">
                  <c:v>0.36945917588594829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100840"/>
        <c:axId val="382095744"/>
      </c:areaChart>
      <c:lineChart>
        <c:grouping val="standard"/>
        <c:varyColors val="0"/>
        <c:ser>
          <c:idx val="2"/>
          <c:order val="2"/>
          <c:tx>
            <c:v>Raum leer</c:v>
          </c:tx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'VO01'!$C$32:$H$32</c:f>
              <c:numCache>
                <c:formatCode>0.00</c:formatCode>
                <c:ptCount val="6"/>
                <c:pt idx="0">
                  <c:v>3.8687010405705595</c:v>
                </c:pt>
                <c:pt idx="1">
                  <c:v>2.9796488068437639</c:v>
                </c:pt>
                <c:pt idx="2">
                  <c:v>2.198312516609088</c:v>
                </c:pt>
                <c:pt idx="3">
                  <c:v>1.2058234029372106</c:v>
                </c:pt>
                <c:pt idx="4">
                  <c:v>0.79769050890769277</c:v>
                </c:pt>
                <c:pt idx="5">
                  <c:v>0.68345932994588332</c:v>
                </c:pt>
              </c:numCache>
            </c:numRef>
          </c:val>
          <c:smooth val="0"/>
        </c:ser>
        <c:ser>
          <c:idx val="3"/>
          <c:order val="3"/>
          <c:tx>
            <c:v>Raum eingerichtet</c:v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'VO01'!$C$44:$H$44</c:f>
              <c:numCache>
                <c:formatCode>0.00</c:formatCode>
                <c:ptCount val="6"/>
                <c:pt idx="0">
                  <c:v>3.1481851481851475</c:v>
                </c:pt>
                <c:pt idx="1">
                  <c:v>2.3094747862502181</c:v>
                </c:pt>
                <c:pt idx="2">
                  <c:v>1.7500925583117359</c:v>
                </c:pt>
                <c:pt idx="3">
                  <c:v>1.0344029885740185</c:v>
                </c:pt>
                <c:pt idx="4">
                  <c:v>0.70641105014837435</c:v>
                </c:pt>
                <c:pt idx="5">
                  <c:v>0.61740120162704781</c:v>
                </c:pt>
              </c:numCache>
            </c:numRef>
          </c:val>
          <c:smooth val="0"/>
        </c:ser>
        <c:ser>
          <c:idx val="4"/>
          <c:order val="4"/>
          <c:tx>
            <c:v>Akustikmaßnahmen</c:v>
          </c:tx>
          <c:spPr>
            <a:ln w="38100" cap="rnd" cmpd="sng">
              <a:solidFill>
                <a:srgbClr val="008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1.7087377177749221E-3"/>
                  <c:y val="-2.7961857384462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1.3669901742199408E-2"/>
                  <c:y val="-5.19291637140014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5.1262131533247662E-3"/>
                  <c:y val="-2.7961857384462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6.8349508710996258E-3"/>
                  <c:y val="-2.7961857384462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3.4174754355498441E-3"/>
                  <c:y val="-2.3967306329539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1262131533247789E-2"/>
                  <c:y val="-3.195640843938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'VO01'!$C$62:$H$62</c:f>
              <c:numCache>
                <c:formatCode>0.00</c:formatCode>
                <c:ptCount val="6"/>
                <c:pt idx="0">
                  <c:v>1.8728951226276793</c:v>
                </c:pt>
                <c:pt idx="1">
                  <c:v>1.18312326807902</c:v>
                </c:pt>
                <c:pt idx="2">
                  <c:v>0.84878847110851163</c:v>
                </c:pt>
                <c:pt idx="3">
                  <c:v>0.64162153462514704</c:v>
                </c:pt>
                <c:pt idx="4">
                  <c:v>0.49358720005728107</c:v>
                </c:pt>
                <c:pt idx="5">
                  <c:v>0.44020764486448805</c:v>
                </c:pt>
              </c:numCache>
            </c:numRef>
          </c:val>
          <c:smooth val="1"/>
        </c:ser>
        <c:ser>
          <c:idx val="5"/>
          <c:order val="5"/>
          <c:tx>
            <c:v>mit Personen</c:v>
          </c:tx>
          <c:spPr>
            <a:ln w="15875" cap="rnd">
              <a:solidFill>
                <a:srgbClr val="008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'VO01'!$C$70:$H$70</c:f>
              <c:numCache>
                <c:formatCode>0.00</c:formatCode>
                <c:ptCount val="6"/>
                <c:pt idx="0">
                  <c:v>1.7173656921312275</c:v>
                </c:pt>
                <c:pt idx="1">
                  <c:v>1.0754529942309254</c:v>
                </c:pt>
                <c:pt idx="2">
                  <c:v>0.74217540900506451</c:v>
                </c:pt>
                <c:pt idx="3">
                  <c:v>0.54448757546786364</c:v>
                </c:pt>
                <c:pt idx="4">
                  <c:v>0.42510194275788882</c:v>
                </c:pt>
                <c:pt idx="5">
                  <c:v>0.37960553788827855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'VO01'!$A$73</c:f>
              <c:strCache>
                <c:ptCount val="1"/>
                <c:pt idx="0">
                  <c:v>Tiefen (Bass) Absorber</c:v>
                </c:pt>
              </c:strCache>
            </c:strRef>
          </c:tx>
          <c:spPr>
            <a:ln w="15875" cap="rnd">
              <a:solidFill>
                <a:schemeClr val="accent1">
                  <a:lumMod val="6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'VO01'!$C$77:$H$77</c:f>
              <c:numCache>
                <c:formatCode>0.00</c:formatCode>
                <c:ptCount val="6"/>
                <c:pt idx="0">
                  <c:v>1.1109459724193327</c:v>
                </c:pt>
                <c:pt idx="1">
                  <c:v>0.86675189944426057</c:v>
                </c:pt>
                <c:pt idx="2">
                  <c:v>0.66697033540414907</c:v>
                </c:pt>
                <c:pt idx="3">
                  <c:v>0.52340852892111456</c:v>
                </c:pt>
                <c:pt idx="4">
                  <c:v>0.41869742616006111</c:v>
                </c:pt>
                <c:pt idx="5">
                  <c:v>0.37309377102529812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dropLines>
        <c:marker val="1"/>
        <c:smooth val="0"/>
        <c:axId val="382100840"/>
        <c:axId val="382095744"/>
      </c:lineChart>
      <c:catAx>
        <c:axId val="3821008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095744"/>
        <c:crosses val="autoZero"/>
        <c:auto val="1"/>
        <c:lblAlgn val="ctr"/>
        <c:lblOffset val="100"/>
        <c:tickLblSkip val="1"/>
        <c:noMultiLvlLbl val="0"/>
      </c:catAx>
      <c:valAx>
        <c:axId val="382095744"/>
        <c:scaling>
          <c:orientation val="minMax"/>
          <c:max val="2.4"/>
          <c:min val="0.1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100840"/>
        <c:crossesAt val="1"/>
        <c:crossBetween val="midCat"/>
        <c:majorUnit val="0.1"/>
      </c:valAx>
      <c:spPr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16200000" scaled="1"/>
          <a:tileRect/>
        </a:gradFill>
        <a:ln>
          <a:solidFill>
            <a:schemeClr val="tx1"/>
          </a:solidFill>
        </a:ln>
        <a:effectLst/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62825957549350997"/>
          <c:y val="5.2039878829854454E-2"/>
          <c:w val="0.33226679171307055"/>
          <c:h val="0.28361543042413817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1587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Absorptionsfläche/Volumen</a:t>
            </a:r>
          </a:p>
          <a:p>
            <a:pPr>
              <a:defRPr/>
            </a:pPr>
            <a:r>
              <a:rPr lang="en-US"/>
              <a:t>für Räume Typ B</a:t>
            </a:r>
          </a:p>
        </c:rich>
      </c:tx>
      <c:layout>
        <c:manualLayout>
          <c:xMode val="edge"/>
          <c:yMode val="edge"/>
          <c:x val="0.36693096584403462"/>
          <c:y val="8.6321744397334962E-2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27602691102816E-2"/>
          <c:y val="6.7782262511303731E-2"/>
          <c:w val="0.92016494835373885"/>
          <c:h val="0.86702831507634781"/>
        </c:manualLayout>
      </c:layout>
      <c:areaChart>
        <c:grouping val="standard"/>
        <c:varyColors val="0"/>
        <c:ser>
          <c:idx val="0"/>
          <c:order val="5"/>
          <c:tx>
            <c:v>Sollwert DIN 18041</c:v>
          </c:tx>
          <c:spPr>
            <a:gradFill>
              <a:gsLst>
                <a:gs pos="0">
                  <a:schemeClr val="accent2">
                    <a:lumMod val="5000"/>
                    <a:lumOff val="95000"/>
                  </a:schemeClr>
                </a:gs>
                <a:gs pos="74000">
                  <a:schemeClr val="accent2">
                    <a:lumMod val="45000"/>
                    <a:lumOff val="55000"/>
                  </a:schemeClr>
                </a:gs>
                <a:gs pos="83000">
                  <a:schemeClr val="accent2">
                    <a:lumMod val="45000"/>
                    <a:lumOff val="55000"/>
                  </a:schemeClr>
                </a:gs>
                <a:gs pos="100000">
                  <a:schemeClr val="accent2">
                    <a:lumMod val="30000"/>
                    <a:lumOff val="70000"/>
                  </a:schemeClr>
                </a:gs>
              </a:gsLst>
              <a:lin ang="16200000" scaled="1"/>
            </a:gradFill>
            <a:ln w="25400" cmpd="sng">
              <a:solidFill>
                <a:srgbClr val="0070C0"/>
              </a:solidFill>
              <a:prstDash val="lgDashDot"/>
            </a:ln>
            <a:effectLst/>
          </c:spPr>
          <c:val>
            <c:numRef>
              <c:f>('VO01'!$B$7,'VO01'!$B$7,'VO01'!$B$7,'VO01'!$B$7)</c:f>
              <c:numCache>
                <c:formatCode>0.00</c:formatCode>
                <c:ptCount val="4"/>
                <c:pt idx="0">
                  <c:v>0.23263135835351015</c:v>
                </c:pt>
                <c:pt idx="1">
                  <c:v>0.23263135835351015</c:v>
                </c:pt>
                <c:pt idx="2">
                  <c:v>0.23263135835351015</c:v>
                </c:pt>
                <c:pt idx="3">
                  <c:v>0.23263135835351015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097312"/>
        <c:axId val="382090648"/>
      </c:areaChart>
      <c:lineChart>
        <c:grouping val="standard"/>
        <c:varyColors val="0"/>
        <c:ser>
          <c:idx val="2"/>
          <c:order val="0"/>
          <c:tx>
            <c:v>Raum leer</c:v>
          </c:tx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'VO01'!$D$10:$G$10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'VO01'!$D$33:$G$33</c:f>
              <c:numCache>
                <c:formatCode>0.00</c:formatCode>
                <c:ptCount val="4"/>
                <c:pt idx="0">
                  <c:v>5.4704433497536946E-2</c:v>
                </c:pt>
                <c:pt idx="1">
                  <c:v>7.414778325123153E-2</c:v>
                </c:pt>
                <c:pt idx="2">
                  <c:v>0.13517733990147784</c:v>
                </c:pt>
                <c:pt idx="3">
                  <c:v>0.20433990147783249</c:v>
                </c:pt>
              </c:numCache>
            </c:numRef>
          </c:val>
          <c:smooth val="0"/>
        </c:ser>
        <c:ser>
          <c:idx val="3"/>
          <c:order val="1"/>
          <c:tx>
            <c:v>Raum eingerichtet</c:v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'VO01'!$D$10:$G$10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'VO01'!$D$45:$G$45</c:f>
              <c:numCache>
                <c:formatCode>0.00</c:formatCode>
                <c:ptCount val="4"/>
                <c:pt idx="0">
                  <c:v>7.0578817733990148E-2</c:v>
                </c:pt>
                <c:pt idx="1">
                  <c:v>9.3137931034482771E-2</c:v>
                </c:pt>
                <c:pt idx="2">
                  <c:v>0.15757881773399016</c:v>
                </c:pt>
                <c:pt idx="3">
                  <c:v>0.23074384236453199</c:v>
                </c:pt>
              </c:numCache>
            </c:numRef>
          </c:val>
          <c:smooth val="0"/>
        </c:ser>
        <c:ser>
          <c:idx val="4"/>
          <c:order val="2"/>
          <c:tx>
            <c:v>Akustikmaßnahmen</c:v>
          </c:tx>
          <c:spPr>
            <a:ln w="38100" cap="rnd" cmpd="sng">
              <a:solidFill>
                <a:srgbClr val="008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1.3288525038588539E-2"/>
                  <c:y val="2.24583691744414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1.3669901742199408E-2"/>
                  <c:y val="-5.19291637140014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5.126251278143582E-3"/>
                  <c:y val="-4.75696420300403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6244830438378947E-2"/>
                  <c:y val="-4.19674011336818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3.4174754355498441E-3"/>
                  <c:y val="-2.3967306329539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5.1262131533247789E-2"/>
                  <c:y val="-3.195640843938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'VO01'!$D$10:$G$10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'VO01'!$D$63:$G$63</c:f>
              <c:numCache>
                <c:formatCode>0.00</c:formatCode>
                <c:ptCount val="4"/>
                <c:pt idx="0">
                  <c:v>0.13777093596059115</c:v>
                </c:pt>
                <c:pt idx="1">
                  <c:v>0.1920384236453202</c:v>
                </c:pt>
                <c:pt idx="2">
                  <c:v>0.25404384236453209</c:v>
                </c:pt>
                <c:pt idx="3">
                  <c:v>0.33023546798029557</c:v>
                </c:pt>
              </c:numCache>
            </c:numRef>
          </c:val>
          <c:smooth val="1"/>
        </c:ser>
        <c:ser>
          <c:idx val="5"/>
          <c:order val="3"/>
          <c:tx>
            <c:v>mit Personen</c:v>
          </c:tx>
          <c:spPr>
            <a:ln w="15875" cap="rnd">
              <a:solidFill>
                <a:srgbClr val="008000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'VO01'!$D$10:$G$10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'VO01'!$D$71:$G$71</c:f>
              <c:numCache>
                <c:formatCode>0.00</c:formatCode>
                <c:ptCount val="4"/>
                <c:pt idx="0">
                  <c:v>0.15156403940886704</c:v>
                </c:pt>
                <c:pt idx="1">
                  <c:v>0.21962463054187195</c:v>
                </c:pt>
                <c:pt idx="2">
                  <c:v>0.29936403940886702</c:v>
                </c:pt>
                <c:pt idx="3">
                  <c:v>0.3834374384236453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'VO01'!$A$73</c:f>
              <c:strCache>
                <c:ptCount val="1"/>
                <c:pt idx="0">
                  <c:v>Tiefen (Bass) Absorber</c:v>
                </c:pt>
              </c:strCache>
            </c:strRef>
          </c:tx>
          <c:spPr>
            <a:ln w="15875" cap="rnd">
              <a:solidFill>
                <a:schemeClr val="accent1">
                  <a:lumMod val="6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'VO01'!$D$10:$G$10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'VO01'!$D$78:$G$78</c:f>
              <c:numCache>
                <c:formatCode>0.00</c:formatCode>
                <c:ptCount val="4"/>
                <c:pt idx="0">
                  <c:v>0.18805842837438427</c:v>
                </c:pt>
                <c:pt idx="1">
                  <c:v>0.24438868019704435</c:v>
                </c:pt>
                <c:pt idx="2">
                  <c:v>0.31142022147783255</c:v>
                </c:pt>
                <c:pt idx="3">
                  <c:v>0.38930260807881772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dropLines>
        <c:marker val="1"/>
        <c:smooth val="0"/>
        <c:axId val="382097312"/>
        <c:axId val="382090648"/>
      </c:lineChart>
      <c:catAx>
        <c:axId val="38209731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090648"/>
        <c:crosses val="autoZero"/>
        <c:auto val="1"/>
        <c:lblAlgn val="ctr"/>
        <c:lblOffset val="100"/>
        <c:tickLblSkip val="1"/>
        <c:noMultiLvlLbl val="0"/>
      </c:catAx>
      <c:valAx>
        <c:axId val="382090648"/>
        <c:scaling>
          <c:orientation val="maxMin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097312"/>
        <c:crosses val="autoZero"/>
        <c:crossBetween val="midCat"/>
      </c:valAx>
      <c:spPr>
        <a:solidFill>
          <a:srgbClr val="00B050">
            <a:alpha val="9000"/>
          </a:srgbClr>
        </a:solidFill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67954162677556129"/>
          <c:y val="8.2852290522508212E-2"/>
          <c:w val="0.28098474043101934"/>
          <c:h val="0.28361543042413817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1587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Nachhallzeit T(s)</a:t>
            </a:r>
          </a:p>
          <a:p>
            <a:pPr>
              <a:defRPr/>
            </a:pPr>
            <a:r>
              <a:rPr lang="en-US"/>
              <a:t>für Räume</a:t>
            </a:r>
            <a:r>
              <a:rPr lang="en-US" baseline="0"/>
              <a:t> Typ A</a:t>
            </a:r>
          </a:p>
        </c:rich>
      </c:tx>
      <c:layout>
        <c:manualLayout>
          <c:xMode val="edge"/>
          <c:yMode val="edge"/>
          <c:x val="0.4213861790766088"/>
          <c:y val="5.3912860892388455E-2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27641698420706E-2"/>
          <c:y val="4.0305020144174988E-2"/>
          <c:w val="0.92016494835373885"/>
          <c:h val="0.86702831507634781"/>
        </c:manualLayout>
      </c:layout>
      <c:areaChart>
        <c:grouping val="standard"/>
        <c:varyColors val="0"/>
        <c:ser>
          <c:idx val="0"/>
          <c:order val="0"/>
          <c:tx>
            <c:v>Toleranzbereich DIN 18041</c:v>
          </c:tx>
          <c:spPr>
            <a:solidFill>
              <a:schemeClr val="tx2">
                <a:lumMod val="40000"/>
                <a:lumOff val="60000"/>
                <a:alpha val="38000"/>
              </a:schemeClr>
            </a:solidFill>
            <a:ln>
              <a:noFill/>
            </a:ln>
            <a:effectLst/>
          </c:spPr>
          <c:cat>
            <c:strRef>
              <c:f>'VO02'!$C$10:$H$10</c:f>
              <c:strCache>
                <c:ptCount val="6"/>
                <c:pt idx="0">
                  <c:v>125 Hz</c:v>
                </c:pt>
                <c:pt idx="1">
                  <c:v>250 Hz</c:v>
                </c:pt>
                <c:pt idx="2">
                  <c:v>500 Hz</c:v>
                </c:pt>
                <c:pt idx="3">
                  <c:v>1 kHz</c:v>
                </c:pt>
                <c:pt idx="4">
                  <c:v>2 kHz</c:v>
                </c:pt>
                <c:pt idx="5">
                  <c:v>4 kHz</c:v>
                </c:pt>
              </c:strCache>
            </c:strRef>
          </c:cat>
          <c:val>
            <c:numRef>
              <c:f>'VO02'!$C$6:$H$6</c:f>
              <c:numCache>
                <c:formatCode>0.00</c:formatCode>
                <c:ptCount val="6"/>
                <c:pt idx="0">
                  <c:v>0.79399214480128499</c:v>
                </c:pt>
                <c:pt idx="1">
                  <c:v>0.65709694742175306</c:v>
                </c:pt>
                <c:pt idx="2">
                  <c:v>0.65709694742175306</c:v>
                </c:pt>
                <c:pt idx="3">
                  <c:v>0.65709694742175306</c:v>
                </c:pt>
                <c:pt idx="4">
                  <c:v>0.65709694742175306</c:v>
                </c:pt>
                <c:pt idx="5">
                  <c:v>0.65709694742175306</c:v>
                </c:pt>
              </c:numCache>
            </c:numRef>
          </c:val>
        </c:ser>
        <c:ser>
          <c:idx val="1"/>
          <c:order val="1"/>
          <c:tx>
            <c:v>Toleranz niedrig</c:v>
          </c:tx>
          <c:spPr>
            <a:solidFill>
              <a:schemeClr val="bg1">
                <a:alpha val="71000"/>
              </a:schemeClr>
            </a:solidFill>
            <a:ln>
              <a:noFill/>
            </a:ln>
            <a:effectLst/>
          </c:spPr>
          <c:cat>
            <c:strRef>
              <c:f>'VO02'!$C$10:$H$10</c:f>
              <c:strCache>
                <c:ptCount val="6"/>
                <c:pt idx="0">
                  <c:v>125 Hz</c:v>
                </c:pt>
                <c:pt idx="1">
                  <c:v>250 Hz</c:v>
                </c:pt>
                <c:pt idx="2">
                  <c:v>500 Hz</c:v>
                </c:pt>
                <c:pt idx="3">
                  <c:v>1 kHz</c:v>
                </c:pt>
                <c:pt idx="4">
                  <c:v>2 kHz</c:v>
                </c:pt>
                <c:pt idx="5">
                  <c:v>4 kHz</c:v>
                </c:pt>
              </c:strCache>
            </c:strRef>
          </c:cat>
          <c:val>
            <c:numRef>
              <c:f>'VO02'!$C$7:$H$7</c:f>
              <c:numCache>
                <c:formatCode>0.00</c:formatCode>
                <c:ptCount val="6"/>
                <c:pt idx="0">
                  <c:v>0.35592751318678295</c:v>
                </c:pt>
                <c:pt idx="1">
                  <c:v>0.4380646316145021</c:v>
                </c:pt>
                <c:pt idx="2">
                  <c:v>0.4380646316145021</c:v>
                </c:pt>
                <c:pt idx="3">
                  <c:v>0.4380646316145021</c:v>
                </c:pt>
                <c:pt idx="4">
                  <c:v>0.4380646316145021</c:v>
                </c:pt>
                <c:pt idx="5">
                  <c:v>0.35592751318678295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091432"/>
        <c:axId val="382100056"/>
      </c:areaChart>
      <c:lineChart>
        <c:grouping val="standard"/>
        <c:varyColors val="0"/>
        <c:ser>
          <c:idx val="2"/>
          <c:order val="2"/>
          <c:tx>
            <c:v>Raum leer</c:v>
          </c:tx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'VO02'!$C$32:$H$32</c:f>
              <c:numCache>
                <c:formatCode>0.00</c:formatCode>
                <c:ptCount val="6"/>
                <c:pt idx="0">
                  <c:v>4.0028907726592564</c:v>
                </c:pt>
                <c:pt idx="1">
                  <c:v>3.2543615463253563</c:v>
                </c:pt>
                <c:pt idx="2">
                  <c:v>2.8344639418631119</c:v>
                </c:pt>
                <c:pt idx="3">
                  <c:v>1.8939181023154827</c:v>
                </c:pt>
                <c:pt idx="4">
                  <c:v>1.2448312385312021</c:v>
                </c:pt>
                <c:pt idx="5">
                  <c:v>1.1127633188810226</c:v>
                </c:pt>
              </c:numCache>
            </c:numRef>
          </c:val>
          <c:smooth val="0"/>
        </c:ser>
        <c:ser>
          <c:idx val="3"/>
          <c:order val="3"/>
          <c:tx>
            <c:v>Raum eingerichtet</c:v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'VO02'!$C$44:$H$44</c:f>
              <c:numCache>
                <c:formatCode>0.00</c:formatCode>
                <c:ptCount val="6"/>
                <c:pt idx="0">
                  <c:v>3.9694231536064413</c:v>
                </c:pt>
                <c:pt idx="1">
                  <c:v>3.2322056936162697</c:v>
                </c:pt>
                <c:pt idx="2">
                  <c:v>2.8037751891023377</c:v>
                </c:pt>
                <c:pt idx="3">
                  <c:v>1.8727509434473524</c:v>
                </c:pt>
                <c:pt idx="4">
                  <c:v>1.2287226303377483</c:v>
                </c:pt>
                <c:pt idx="5">
                  <c:v>1.1011492292647345</c:v>
                </c:pt>
              </c:numCache>
            </c:numRef>
          </c:val>
          <c:smooth val="0"/>
        </c:ser>
        <c:ser>
          <c:idx val="4"/>
          <c:order val="4"/>
          <c:tx>
            <c:v>Akustikmaßnahmen</c:v>
          </c:tx>
          <c:spPr>
            <a:ln w="38100" cap="rnd" cmpd="sng">
              <a:solidFill>
                <a:srgbClr val="008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1.7087377177749221E-3"/>
                  <c:y val="-2.7961857384462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1.3669901742199408E-2"/>
                  <c:y val="-5.19291637140014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5.1262131533247662E-3"/>
                  <c:y val="-2.7961857384462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6.8349508710996258E-3"/>
                  <c:y val="-2.7961857384462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3.4174754355498441E-3"/>
                  <c:y val="-2.3967306329539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5.1262131533247789E-2"/>
                  <c:y val="-3.195640843938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'VO02'!$C$62:$H$62</c:f>
              <c:numCache>
                <c:formatCode>0.00</c:formatCode>
                <c:ptCount val="6"/>
                <c:pt idx="0">
                  <c:v>1.9425241950706822</c:v>
                </c:pt>
                <c:pt idx="1">
                  <c:v>1.1554630880401306</c:v>
                </c:pt>
                <c:pt idx="2">
                  <c:v>0.78326867487870488</c:v>
                </c:pt>
                <c:pt idx="3">
                  <c:v>0.65583006884904438</c:v>
                </c:pt>
                <c:pt idx="4">
                  <c:v>0.63201630045684387</c:v>
                </c:pt>
                <c:pt idx="5">
                  <c:v>0.54398333899624574</c:v>
                </c:pt>
              </c:numCache>
            </c:numRef>
          </c:val>
          <c:smooth val="1"/>
        </c:ser>
        <c:ser>
          <c:idx val="5"/>
          <c:order val="5"/>
          <c:tx>
            <c:v>mit Personen</c:v>
          </c:tx>
          <c:spPr>
            <a:ln w="15875" cap="rnd">
              <a:solidFill>
                <a:srgbClr val="008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'VO02'!$C$70:$H$70</c:f>
              <c:numCache>
                <c:formatCode>0.00</c:formatCode>
                <c:ptCount val="6"/>
                <c:pt idx="0">
                  <c:v>1.8185145016393263</c:v>
                </c:pt>
                <c:pt idx="1">
                  <c:v>1.0687592381151527</c:v>
                </c:pt>
                <c:pt idx="2">
                  <c:v>0.72358011957750679</c:v>
                </c:pt>
                <c:pt idx="3">
                  <c:v>0.60052617784525297</c:v>
                </c:pt>
                <c:pt idx="4">
                  <c:v>0.566078198695802</c:v>
                </c:pt>
                <c:pt idx="5">
                  <c:v>0.48806122473146246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'VO02'!$A$73</c:f>
              <c:strCache>
                <c:ptCount val="1"/>
                <c:pt idx="0">
                  <c:v>Tiefen (Bass) Absorber</c:v>
                </c:pt>
              </c:strCache>
            </c:strRef>
          </c:tx>
          <c:spPr>
            <a:ln w="15875" cap="rnd">
              <a:solidFill>
                <a:schemeClr val="accent1">
                  <a:lumMod val="6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'VO02'!$C$77:$H$77</c:f>
              <c:numCache>
                <c:formatCode>0.00</c:formatCode>
                <c:ptCount val="6"/>
                <c:pt idx="0">
                  <c:v>1.8185145016393263</c:v>
                </c:pt>
                <c:pt idx="1">
                  <c:v>1.0687592381151527</c:v>
                </c:pt>
                <c:pt idx="2">
                  <c:v>0.72358011957750679</c:v>
                </c:pt>
                <c:pt idx="3">
                  <c:v>0.60052617784525297</c:v>
                </c:pt>
                <c:pt idx="4">
                  <c:v>0.566078198695802</c:v>
                </c:pt>
                <c:pt idx="5">
                  <c:v>0.48806122473146246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dropLines>
        <c:marker val="1"/>
        <c:smooth val="0"/>
        <c:axId val="382091432"/>
        <c:axId val="382100056"/>
      </c:lineChart>
      <c:catAx>
        <c:axId val="382091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100056"/>
        <c:crosses val="autoZero"/>
        <c:auto val="1"/>
        <c:lblAlgn val="ctr"/>
        <c:lblOffset val="100"/>
        <c:tickLblSkip val="1"/>
        <c:noMultiLvlLbl val="0"/>
      </c:catAx>
      <c:valAx>
        <c:axId val="382100056"/>
        <c:scaling>
          <c:orientation val="minMax"/>
          <c:max val="2.4"/>
          <c:min val="0.1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091432"/>
        <c:crossesAt val="1"/>
        <c:crossBetween val="midCat"/>
        <c:majorUnit val="0.1"/>
      </c:valAx>
      <c:spPr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16200000" scaled="1"/>
          <a:tileRect/>
        </a:gradFill>
        <a:ln>
          <a:solidFill>
            <a:schemeClr val="tx1"/>
          </a:solidFill>
        </a:ln>
        <a:effectLst/>
      </c:spPr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62825957549350997"/>
          <c:y val="5.2039878829854454E-2"/>
          <c:w val="0.33226679171307055"/>
          <c:h val="0.28361543042413817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1587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Absorptionsfläche/Volumen</a:t>
            </a:r>
          </a:p>
          <a:p>
            <a:pPr>
              <a:defRPr/>
            </a:pPr>
            <a:r>
              <a:rPr lang="en-US"/>
              <a:t>für Räume Typ B</a:t>
            </a:r>
          </a:p>
        </c:rich>
      </c:tx>
      <c:layout>
        <c:manualLayout>
          <c:xMode val="edge"/>
          <c:yMode val="edge"/>
          <c:x val="0.36693096584403462"/>
          <c:y val="8.6321744397334962E-2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27602691102816E-2"/>
          <c:y val="6.7782262511303731E-2"/>
          <c:w val="0.92016494835373885"/>
          <c:h val="0.86702831507634781"/>
        </c:manualLayout>
      </c:layout>
      <c:areaChart>
        <c:grouping val="standard"/>
        <c:varyColors val="0"/>
        <c:ser>
          <c:idx val="0"/>
          <c:order val="5"/>
          <c:tx>
            <c:v>Sollwert DIN 18041</c:v>
          </c:tx>
          <c:spPr>
            <a:gradFill>
              <a:gsLst>
                <a:gs pos="0">
                  <a:schemeClr val="accent2">
                    <a:lumMod val="5000"/>
                    <a:lumOff val="95000"/>
                  </a:schemeClr>
                </a:gs>
                <a:gs pos="74000">
                  <a:schemeClr val="accent2">
                    <a:lumMod val="45000"/>
                    <a:lumOff val="55000"/>
                  </a:schemeClr>
                </a:gs>
                <a:gs pos="83000">
                  <a:schemeClr val="accent2">
                    <a:lumMod val="45000"/>
                    <a:lumOff val="55000"/>
                  </a:schemeClr>
                </a:gs>
                <a:gs pos="100000">
                  <a:schemeClr val="accent2">
                    <a:lumMod val="30000"/>
                    <a:lumOff val="70000"/>
                  </a:schemeClr>
                </a:gs>
              </a:gsLst>
              <a:lin ang="16200000" scaled="1"/>
            </a:gradFill>
            <a:ln w="25400" cmpd="sng">
              <a:solidFill>
                <a:srgbClr val="0070C0"/>
              </a:solidFill>
              <a:prstDash val="lgDashDot"/>
            </a:ln>
            <a:effectLst/>
          </c:spPr>
          <c:val>
            <c:numRef>
              <c:f>('VO02'!$B$7,'VO02'!$B$7,'VO02'!$B$7,'VO02'!$B$7)</c:f>
              <c:numCache>
                <c:formatCode>0.00</c:formatCode>
                <c:ptCount val="4"/>
                <c:pt idx="0">
                  <c:v>0.21980687066242854</c:v>
                </c:pt>
                <c:pt idx="1">
                  <c:v>0.21980687066242854</c:v>
                </c:pt>
                <c:pt idx="2">
                  <c:v>0.21980687066242854</c:v>
                </c:pt>
                <c:pt idx="3">
                  <c:v>0.21980687066242854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109072"/>
        <c:axId val="382105936"/>
      </c:areaChart>
      <c:lineChart>
        <c:grouping val="standard"/>
        <c:varyColors val="0"/>
        <c:ser>
          <c:idx val="2"/>
          <c:order val="0"/>
          <c:tx>
            <c:v>Raum leer</c:v>
          </c:tx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'VO02'!$D$10:$G$10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'VO02'!$D$33:$G$33</c:f>
              <c:numCache>
                <c:formatCode>0.00</c:formatCode>
                <c:ptCount val="4"/>
                <c:pt idx="0">
                  <c:v>5.0086629183549232E-2</c:v>
                </c:pt>
                <c:pt idx="1">
                  <c:v>5.7506464482613602E-2</c:v>
                </c:pt>
                <c:pt idx="2">
                  <c:v>8.6064967540422171E-2</c:v>
                </c:pt>
                <c:pt idx="3">
                  <c:v>0.13094144407263311</c:v>
                </c:pt>
              </c:numCache>
            </c:numRef>
          </c:val>
          <c:smooth val="0"/>
        </c:ser>
        <c:ser>
          <c:idx val="3"/>
          <c:order val="1"/>
          <c:tx>
            <c:v>Raum eingerichtet</c:v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'VO02'!$D$10:$G$10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'VO02'!$D$45:$G$45</c:f>
              <c:numCache>
                <c:formatCode>0.00</c:formatCode>
                <c:ptCount val="4"/>
                <c:pt idx="0">
                  <c:v>5.0429958811696686E-2</c:v>
                </c:pt>
                <c:pt idx="1">
                  <c:v>5.8135902134217265E-2</c:v>
                </c:pt>
                <c:pt idx="2">
                  <c:v>8.7037734820173296E-2</c:v>
                </c:pt>
                <c:pt idx="3">
                  <c:v>0.13265809221337038</c:v>
                </c:pt>
              </c:numCache>
            </c:numRef>
          </c:val>
          <c:smooth val="0"/>
        </c:ser>
        <c:ser>
          <c:idx val="4"/>
          <c:order val="2"/>
          <c:tx>
            <c:v>Akustikmaßnahmen</c:v>
          </c:tx>
          <c:spPr>
            <a:ln w="38100" cap="rnd" cmpd="sng">
              <a:solidFill>
                <a:srgbClr val="008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1.3288525038588539E-2"/>
                  <c:y val="2.24583691744414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1.3669901742199408E-2"/>
                  <c:y val="-5.19291637140014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5.126251278143582E-3"/>
                  <c:y val="-4.756964203004036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6244830438378947E-2"/>
                  <c:y val="-4.19674011336818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3.4174754355498441E-3"/>
                  <c:y val="-2.3967306329539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-5.1262131533247789E-2"/>
                  <c:y val="-3.195640843938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'VO02'!$D$10:$G$10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'VO02'!$D$63:$G$63</c:f>
              <c:numCache>
                <c:formatCode>0.00</c:formatCode>
                <c:ptCount val="4"/>
                <c:pt idx="0">
                  <c:v>0.14106898064262421</c:v>
                </c:pt>
                <c:pt idx="1">
                  <c:v>0.20810228370902462</c:v>
                </c:pt>
                <c:pt idx="2">
                  <c:v>0.24853999190073506</c:v>
                </c:pt>
                <c:pt idx="3">
                  <c:v>0.25790474056156115</c:v>
                </c:pt>
              </c:numCache>
            </c:numRef>
          </c:val>
          <c:smooth val="1"/>
        </c:ser>
        <c:ser>
          <c:idx val="5"/>
          <c:order val="3"/>
          <c:tx>
            <c:v>mit Personen</c:v>
          </c:tx>
          <c:spPr>
            <a:ln w="15875" cap="rnd">
              <a:solidFill>
                <a:srgbClr val="008000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'VO02'!$D$10:$G$10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'VO02'!$D$71:$G$71</c:f>
              <c:numCache>
                <c:formatCode>0.00</c:formatCode>
                <c:ptCount val="4"/>
                <c:pt idx="0">
                  <c:v>0.15251330158087265</c:v>
                </c:pt>
                <c:pt idx="1">
                  <c:v>0.22526876511639723</c:v>
                </c:pt>
                <c:pt idx="2">
                  <c:v>0.27142863377723192</c:v>
                </c:pt>
                <c:pt idx="3">
                  <c:v>0.28794608302446328</c:v>
                </c:pt>
              </c:numCache>
            </c:numRef>
          </c:val>
          <c:smooth val="0"/>
        </c:ser>
        <c:ser>
          <c:idx val="6"/>
          <c:order val="4"/>
          <c:tx>
            <c:strRef>
              <c:f>'VO02'!$A$73</c:f>
              <c:strCache>
                <c:ptCount val="1"/>
                <c:pt idx="0">
                  <c:v>Tiefen (Bass) Absorber</c:v>
                </c:pt>
              </c:strCache>
            </c:strRef>
          </c:tx>
          <c:spPr>
            <a:ln w="15875" cap="rnd">
              <a:solidFill>
                <a:schemeClr val="accent1">
                  <a:lumMod val="6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'VO02'!$D$10:$G$10</c:f>
              <c:strCache>
                <c:ptCount val="4"/>
                <c:pt idx="0">
                  <c:v>250 Hz</c:v>
                </c:pt>
                <c:pt idx="1">
                  <c:v>500 Hz</c:v>
                </c:pt>
                <c:pt idx="2">
                  <c:v>1 kHz</c:v>
                </c:pt>
                <c:pt idx="3">
                  <c:v>2 kHz</c:v>
                </c:pt>
              </c:strCache>
            </c:strRef>
          </c:cat>
          <c:val>
            <c:numRef>
              <c:f>'VO02'!$D$78:$G$78</c:f>
              <c:numCache>
                <c:formatCode>0.00</c:formatCode>
                <c:ptCount val="4"/>
                <c:pt idx="0">
                  <c:v>0.15251330158087265</c:v>
                </c:pt>
                <c:pt idx="1">
                  <c:v>0.22526876511639723</c:v>
                </c:pt>
                <c:pt idx="2">
                  <c:v>0.27142863377723192</c:v>
                </c:pt>
                <c:pt idx="3">
                  <c:v>0.28794608302446328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dropLines>
        <c:marker val="1"/>
        <c:smooth val="0"/>
        <c:axId val="382109072"/>
        <c:axId val="382105936"/>
      </c:lineChart>
      <c:catAx>
        <c:axId val="38210907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in"/>
        <c:minorTickMark val="in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105936"/>
        <c:crosses val="autoZero"/>
        <c:auto val="1"/>
        <c:lblAlgn val="ctr"/>
        <c:lblOffset val="100"/>
        <c:tickLblSkip val="1"/>
        <c:noMultiLvlLbl val="0"/>
      </c:catAx>
      <c:valAx>
        <c:axId val="382105936"/>
        <c:scaling>
          <c:orientation val="maxMin"/>
        </c:scaling>
        <c:delete val="0"/>
        <c:axPos val="l"/>
        <c:majorGridlines>
          <c:spPr>
            <a:ln w="6350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109072"/>
        <c:crosses val="autoZero"/>
        <c:crossBetween val="midCat"/>
      </c:valAx>
      <c:spPr>
        <a:solidFill>
          <a:srgbClr val="00B050">
            <a:alpha val="9000"/>
          </a:srgbClr>
        </a:solidFill>
        <a:ln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67954162677556129"/>
          <c:y val="8.2852290522508212E-2"/>
          <c:w val="0.28098474043101934"/>
          <c:h val="0.28361543042413817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1587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132</xdr:row>
      <xdr:rowOff>0</xdr:rowOff>
    </xdr:from>
    <xdr:to>
      <xdr:col>8</xdr:col>
      <xdr:colOff>0</xdr:colOff>
      <xdr:row>146</xdr:row>
      <xdr:rowOff>130986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050375"/>
          <a:ext cx="7096125" cy="2353486"/>
        </a:xfrm>
        <a:prstGeom prst="rect">
          <a:avLst/>
        </a:prstGeom>
      </xdr:spPr>
    </xdr:pic>
    <xdr:clientData fLocksWithSheet="0"/>
  </xdr:twoCellAnchor>
  <xdr:twoCellAnchor>
    <xdr:from>
      <xdr:col>0</xdr:col>
      <xdr:colOff>0</xdr:colOff>
      <xdr:row>80</xdr:row>
      <xdr:rowOff>0</xdr:rowOff>
    </xdr:from>
    <xdr:to>
      <xdr:col>8</xdr:col>
      <xdr:colOff>0</xdr:colOff>
      <xdr:row>102</xdr:row>
      <xdr:rowOff>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103</xdr:row>
      <xdr:rowOff>0</xdr:rowOff>
    </xdr:from>
    <xdr:to>
      <xdr:col>8</xdr:col>
      <xdr:colOff>0</xdr:colOff>
      <xdr:row>127</xdr:row>
      <xdr:rowOff>0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153</xdr:row>
      <xdr:rowOff>66675</xdr:rowOff>
    </xdr:from>
    <xdr:to>
      <xdr:col>7</xdr:col>
      <xdr:colOff>484187</xdr:colOff>
      <xdr:row>175</xdr:row>
      <xdr:rowOff>0</xdr:rowOff>
    </xdr:to>
    <xdr:sp macro="" textlink="">
      <xdr:nvSpPr>
        <xdr:cNvPr id="5" name="Textfeld 4"/>
        <xdr:cNvSpPr txBox="1"/>
      </xdr:nvSpPr>
      <xdr:spPr>
        <a:xfrm>
          <a:off x="0" y="25898475"/>
          <a:ext cx="7104062" cy="3495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Haftungsausschluss: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Diese Software wurde gemäß dem Stand von Wissenschaft und Technik sorgfältig erstellt. Sie wird dem Nutzer unentgeltlich zur Verfügung gestellt. Die Benutzung erfolgt auf eigene Gefahr. Eine Haftung – gleich aus welchem Rechtsgrund – ist, soweit gesetzlich zulässig, ausgeschlossen. Insbesondere für Sach- und Rechtsmängel der Software sowie der damit zusammenhängenden Dokumentationen und Informationen wird – vor allem im Hinblick auf deren Richtigkeit, Fehlerfreiheit, Freiheit von Schutz- und Urheberrechten Dritter, Aktualität, Vollständigkeit und/ oder Verwendbarkeit – außer bei Vorsatz oder Arglist nicht gehaftet.</a:t>
          </a:r>
        </a:p>
        <a:p>
          <a:endParaRPr lang="en-US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Nutzungsrecht: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Raumakustikrechner darf zu nicht kommerziellen Zwecken frei verwendet werden. Eine kommerzielle Nutzung ist nicht gestattet.</a:t>
          </a:r>
        </a:p>
        <a:p>
          <a:endParaRPr lang="en-US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/>
            <a:t>© Peter Jordan / www.Vital-Office.de </a:t>
          </a:r>
          <a:br>
            <a:rPr lang="en-US" sz="1100"/>
          </a:br>
          <a:r>
            <a:rPr lang="en-US" sz="1100"/>
            <a:t>Vital-Office GmbH,</a:t>
          </a:r>
          <a:r>
            <a:rPr lang="en-US" sz="1100" baseline="0"/>
            <a:t> </a:t>
          </a:r>
          <a:r>
            <a:rPr lang="en-US" sz="1100"/>
            <a:t>Holzbachtal 204, D-75334 Straubenhardt, Tel.: +49 7248 935 6690, E-Mail: info@vital-office.net </a:t>
          </a:r>
        </a:p>
        <a:p>
          <a:endParaRPr lang="en-US" sz="1100" b="0" i="1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Credits:</a:t>
          </a:r>
          <a:r>
            <a:rPr lang="en-US" sz="1100" b="0" i="1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Dieses Excel-Tabelle ist eine Weiterentwicklung von:</a:t>
          </a:r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Benno Frank, BFH AHB Biel /  HF HT 06B</a:t>
          </a:r>
          <a:r>
            <a:rPr lang="en-US"/>
            <a:t> https://www.vssm.ch/sites/default/files/vssm/technik/vssm_tb_akustikrechner_schall_und_akustik.xls </a:t>
          </a:r>
        </a:p>
        <a:p>
          <a:endParaRPr lang="en-US" sz="1100"/>
        </a:p>
      </xdr:txBody>
    </xdr:sp>
    <xdr:clientData/>
  </xdr:twoCellAnchor>
  <xdr:twoCellAnchor>
    <xdr:from>
      <xdr:col>0</xdr:col>
      <xdr:colOff>47626</xdr:colOff>
      <xdr:row>0</xdr:row>
      <xdr:rowOff>19050</xdr:rowOff>
    </xdr:from>
    <xdr:to>
      <xdr:col>0</xdr:col>
      <xdr:colOff>638176</xdr:colOff>
      <xdr:row>0</xdr:row>
      <xdr:rowOff>358616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"/>
          <a:ext cx="590550" cy="3395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80</xdr:row>
      <xdr:rowOff>0</xdr:rowOff>
    </xdr:from>
    <xdr:to>
      <xdr:col>8</xdr:col>
      <xdr:colOff>0</xdr:colOff>
      <xdr:row>102</xdr:row>
      <xdr:rowOff>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103</xdr:row>
      <xdr:rowOff>0</xdr:rowOff>
    </xdr:from>
    <xdr:to>
      <xdr:col>8</xdr:col>
      <xdr:colOff>0</xdr:colOff>
      <xdr:row>127</xdr:row>
      <xdr:rowOff>0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153</xdr:row>
      <xdr:rowOff>0</xdr:rowOff>
    </xdr:from>
    <xdr:to>
      <xdr:col>8</xdr:col>
      <xdr:colOff>0</xdr:colOff>
      <xdr:row>174</xdr:row>
      <xdr:rowOff>95250</xdr:rowOff>
    </xdr:to>
    <xdr:sp macro="" textlink="">
      <xdr:nvSpPr>
        <xdr:cNvPr id="5" name="Textfeld 4"/>
        <xdr:cNvSpPr txBox="1"/>
      </xdr:nvSpPr>
      <xdr:spPr>
        <a:xfrm>
          <a:off x="0" y="25831800"/>
          <a:ext cx="7105650" cy="3495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Haftungsausschluss: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Diese Software wurde gemäß dem Stand von Wissenschaft und Technik sorgfältig erstellt. Sie wird dem Nutzer unentgeltlich zur Verfügung gestellt. Die Benutzung erfolgt auf eigene Gefahr. Eine Haftung – gleich aus welchem Rechtsgrund – ist, soweit gesetzlich zulässig, ausgeschlossen. Insbesondere für Sach- und Rechtsmängel der Software sowie der damit zusammenhängenden Dokumentationen und Informationen wird – vor allem im Hinblick auf deren Richtigkeit, Fehlerfreiheit, Freiheit von Schutz- und Urheberrechten Dritter, Aktualität, Vollständigkeit und/ oder Verwendbarkeit – außer bei Vorsatz oder Arglist nicht gehaftet.</a:t>
          </a:r>
        </a:p>
        <a:p>
          <a:endParaRPr lang="en-US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Nutzungsrecht:</a:t>
          </a:r>
        </a:p>
        <a:p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Raumakustikrechner darf zu nicht kommerziellen Zwecken frei verwendet werden. Eine kommerzielle Nutzung ist nicht gestattet.</a:t>
          </a:r>
        </a:p>
        <a:p>
          <a:endParaRPr lang="en-US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/>
            <a:t>© Peter Jordan / www.Vital-Office.de </a:t>
          </a:r>
          <a:br>
            <a:rPr lang="en-US" sz="1100"/>
          </a:br>
          <a:r>
            <a:rPr lang="en-US" sz="1100"/>
            <a:t>Vital-Office GmbH,</a:t>
          </a:r>
          <a:r>
            <a:rPr lang="en-US" sz="1100" baseline="0"/>
            <a:t> </a:t>
          </a:r>
          <a:r>
            <a:rPr lang="en-US" sz="1100"/>
            <a:t>Holzbachtal 204, D-75334 Straubenhardt, Tel.: +49 7248 935 6690, E-Mail: info@vital-office.net </a:t>
          </a:r>
        </a:p>
        <a:p>
          <a:endParaRPr lang="en-US" sz="1100" b="0" i="1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Credits:</a:t>
          </a:r>
          <a:r>
            <a:rPr lang="en-US" sz="1100" b="0" i="1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Dieses Excel-Tabelle ist eine Weiterentwicklung von:</a:t>
          </a:r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Benno Frank, BFH AHB Biel /  HF HT 06B</a:t>
          </a:r>
          <a:r>
            <a:rPr lang="en-US"/>
            <a:t> https://www.vssm.ch/sites/default/files/vssm/technik/vssm_tb_akustikrechner_schall_und_akustik.xls </a:t>
          </a:r>
        </a:p>
        <a:p>
          <a:endParaRPr lang="en-US" sz="1100"/>
        </a:p>
      </xdr:txBody>
    </xdr:sp>
    <xdr:clientData/>
  </xdr:twoCellAnchor>
  <xdr:twoCellAnchor>
    <xdr:from>
      <xdr:col>0</xdr:col>
      <xdr:colOff>47626</xdr:colOff>
      <xdr:row>0</xdr:row>
      <xdr:rowOff>19050</xdr:rowOff>
    </xdr:from>
    <xdr:to>
      <xdr:col>0</xdr:col>
      <xdr:colOff>638176</xdr:colOff>
      <xdr:row>0</xdr:row>
      <xdr:rowOff>358616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"/>
          <a:ext cx="590550" cy="33956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342900</xdr:colOff>
      <xdr:row>0</xdr:row>
      <xdr:rowOff>180975</xdr:rowOff>
    </xdr:from>
    <xdr:to>
      <xdr:col>17</xdr:col>
      <xdr:colOff>742950</xdr:colOff>
      <xdr:row>22</xdr:row>
      <xdr:rowOff>85725</xdr:rowOff>
    </xdr:to>
    <xdr:pic>
      <xdr:nvPicPr>
        <xdr:cNvPr id="26648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40150" y="180975"/>
          <a:ext cx="73342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371475</xdr:colOff>
      <xdr:row>23</xdr:row>
      <xdr:rowOff>180975</xdr:rowOff>
    </xdr:from>
    <xdr:to>
      <xdr:col>17</xdr:col>
      <xdr:colOff>695325</xdr:colOff>
      <xdr:row>45</xdr:row>
      <xdr:rowOff>0</xdr:rowOff>
    </xdr:to>
    <xdr:pic>
      <xdr:nvPicPr>
        <xdr:cNvPr id="26649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68725" y="4562475"/>
          <a:ext cx="7258050" cy="401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419100</xdr:colOff>
      <xdr:row>46</xdr:row>
      <xdr:rowOff>104775</xdr:rowOff>
    </xdr:from>
    <xdr:to>
      <xdr:col>17</xdr:col>
      <xdr:colOff>876300</xdr:colOff>
      <xdr:row>68</xdr:row>
      <xdr:rowOff>180975</xdr:rowOff>
    </xdr:to>
    <xdr:pic>
      <xdr:nvPicPr>
        <xdr:cNvPr id="26650" name="Grafi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6350" y="8867775"/>
          <a:ext cx="7391400" cy="426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504825</xdr:colOff>
      <xdr:row>69</xdr:row>
      <xdr:rowOff>180975</xdr:rowOff>
    </xdr:from>
    <xdr:to>
      <xdr:col>18</xdr:col>
      <xdr:colOff>57150</xdr:colOff>
      <xdr:row>91</xdr:row>
      <xdr:rowOff>19050</xdr:rowOff>
    </xdr:to>
    <xdr:pic>
      <xdr:nvPicPr>
        <xdr:cNvPr id="26651" name="Grafik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2075" y="13325475"/>
          <a:ext cx="7477125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155575</xdr:colOff>
      <xdr:row>2</xdr:row>
      <xdr:rowOff>0</xdr:rowOff>
    </xdr:from>
    <xdr:to>
      <xdr:col>1</xdr:col>
      <xdr:colOff>4972050</xdr:colOff>
      <xdr:row>15</xdr:row>
      <xdr:rowOff>57150</xdr:rowOff>
    </xdr:to>
    <xdr:pic>
      <xdr:nvPicPr>
        <xdr:cNvPr id="26652" name="Grafik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" y="381000"/>
          <a:ext cx="4816475" cy="2533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1</xdr:row>
      <xdr:rowOff>133350</xdr:rowOff>
    </xdr:from>
    <xdr:to>
      <xdr:col>9</xdr:col>
      <xdr:colOff>971550</xdr:colOff>
      <xdr:row>40</xdr:row>
      <xdr:rowOff>28575</xdr:rowOff>
    </xdr:to>
    <xdr:pic>
      <xdr:nvPicPr>
        <xdr:cNvPr id="26653" name="Grafik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675" y="2667000"/>
          <a:ext cx="10296525" cy="732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1552575</xdr:colOff>
      <xdr:row>41</xdr:row>
      <xdr:rowOff>95250</xdr:rowOff>
    </xdr:from>
    <xdr:to>
      <xdr:col>9</xdr:col>
      <xdr:colOff>923925</xdr:colOff>
      <xdr:row>64</xdr:row>
      <xdr:rowOff>19050</xdr:rowOff>
    </xdr:to>
    <xdr:pic>
      <xdr:nvPicPr>
        <xdr:cNvPr id="26654" name="Grafik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8025" y="10248900"/>
          <a:ext cx="8972550" cy="430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66</xdr:row>
      <xdr:rowOff>180975</xdr:rowOff>
    </xdr:from>
    <xdr:to>
      <xdr:col>9</xdr:col>
      <xdr:colOff>828675</xdr:colOff>
      <xdr:row>98</xdr:row>
      <xdr:rowOff>123825</xdr:rowOff>
    </xdr:to>
    <xdr:pic>
      <xdr:nvPicPr>
        <xdr:cNvPr id="26655" name="Grafik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2150" y="15097125"/>
          <a:ext cx="10163175" cy="603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14</xdr:row>
      <xdr:rowOff>9525</xdr:rowOff>
    </xdr:from>
    <xdr:to>
      <xdr:col>2</xdr:col>
      <xdr:colOff>3486150</xdr:colOff>
      <xdr:row>23</xdr:row>
      <xdr:rowOff>142875</xdr:rowOff>
    </xdr:to>
    <xdr:pic>
      <xdr:nvPicPr>
        <xdr:cNvPr id="26656" name="Grafik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5019675"/>
          <a:ext cx="33147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Liste1" displayName="Liste1" ref="A1:H66" insertRowShift="1" totalsRowShown="0" headerRowDxfId="14" dataDxfId="12" headerRowBorderDxfId="13" tableBorderDxfId="11" totalsRowBorderDxfId="10">
  <tableColumns count="8">
    <tableColumn id="2" name="Material" dataDxfId="9"/>
    <tableColumn id="3" name="125 Hz" dataDxfId="8"/>
    <tableColumn id="4" name="250 Hz" dataDxfId="7"/>
    <tableColumn id="5" name="500 Hz" dataDxfId="6"/>
    <tableColumn id="6" name="1 kHz" dataDxfId="5"/>
    <tableColumn id="7" name="2 kHz" dataDxfId="4"/>
    <tableColumn id="8" name="4 kHz" dataDxfId="3"/>
    <tableColumn id="1" name="Bemerkung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vital-office.de/" TargetMode="External"/><Relationship Id="rId1" Type="http://schemas.openxmlformats.org/officeDocument/2006/relationships/hyperlink" Target="http://www.suonoevita.it/en/apm_tool_full_use_your_smart_phone_control_your_room_acoustics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vital-office.de/" TargetMode="External"/><Relationship Id="rId1" Type="http://schemas.openxmlformats.org/officeDocument/2006/relationships/hyperlink" Target="http://www.suonoevita.it/en/apm_tool_full_use_your_smart_phone_control_your_room_acoustics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fitToPage="1"/>
  </sheetPr>
  <dimension ref="A1:R218"/>
  <sheetViews>
    <sheetView showGridLines="0" tabSelected="1" zoomScaleNormal="100" zoomScaleSheetLayoutView="100" workbookViewId="0">
      <selection activeCell="A153" sqref="A153"/>
    </sheetView>
  </sheetViews>
  <sheetFormatPr baseColWidth="10" defaultRowHeight="12.75" x14ac:dyDescent="0.2"/>
  <cols>
    <col min="1" max="1" width="40.109375" style="3" customWidth="1"/>
    <col min="2" max="2" width="8.77734375" style="3" customWidth="1"/>
    <col min="3" max="8" width="5.6640625" style="3" customWidth="1"/>
    <col min="9" max="9" width="2.109375" style="44" customWidth="1"/>
    <col min="10" max="15" width="5.6640625" style="44" hidden="1" customWidth="1"/>
    <col min="16" max="16" width="9.88671875" style="44" hidden="1" customWidth="1"/>
    <col min="17" max="17" width="6.109375" style="44" hidden="1" customWidth="1"/>
    <col min="18" max="18" width="11.5546875" style="3" hidden="1" customWidth="1"/>
    <col min="19" max="16384" width="11.5546875" style="3"/>
  </cols>
  <sheetData>
    <row r="1" spans="1:17" ht="30" customHeight="1" x14ac:dyDescent="0.2">
      <c r="A1" s="25" t="s">
        <v>62</v>
      </c>
      <c r="B1" s="2"/>
      <c r="C1" s="127" t="s">
        <v>133</v>
      </c>
      <c r="D1" s="127"/>
      <c r="E1" s="127"/>
      <c r="F1" s="127"/>
      <c r="G1" s="127"/>
      <c r="H1" s="127"/>
    </row>
    <row r="2" spans="1:17" ht="25.5" customHeight="1" x14ac:dyDescent="0.2">
      <c r="A2" s="128" t="s">
        <v>130</v>
      </c>
      <c r="B2" s="129"/>
      <c r="C2" s="129"/>
      <c r="D2" s="129"/>
      <c r="E2" s="129"/>
      <c r="F2" s="129"/>
      <c r="G2" s="129"/>
      <c r="H2" s="130"/>
      <c r="J2" s="45"/>
    </row>
    <row r="3" spans="1:17" ht="25.5" customHeight="1" x14ac:dyDescent="0.2">
      <c r="A3" s="131" t="s">
        <v>134</v>
      </c>
      <c r="B3" s="132"/>
      <c r="C3" s="132"/>
      <c r="D3" s="132"/>
      <c r="E3" s="132"/>
      <c r="F3" s="132"/>
      <c r="G3" s="132"/>
      <c r="H3" s="133"/>
    </row>
    <row r="4" spans="1:17" ht="15.75" x14ac:dyDescent="0.2">
      <c r="A4" s="28" t="s">
        <v>61</v>
      </c>
      <c r="B4" s="30" t="s">
        <v>125</v>
      </c>
      <c r="C4" s="32" t="s">
        <v>126</v>
      </c>
      <c r="D4" s="32" t="s">
        <v>127</v>
      </c>
      <c r="E4" s="33"/>
      <c r="F4" s="34" t="s">
        <v>128</v>
      </c>
      <c r="G4" s="37"/>
      <c r="H4" s="38" t="s">
        <v>129</v>
      </c>
    </row>
    <row r="5" spans="1:17" x14ac:dyDescent="0.2">
      <c r="A5" s="29" t="s">
        <v>34</v>
      </c>
      <c r="B5" s="31">
        <v>10</v>
      </c>
      <c r="C5" s="31">
        <v>7</v>
      </c>
      <c r="D5" s="31">
        <v>2.9</v>
      </c>
      <c r="E5" s="35"/>
      <c r="F5" s="36">
        <f>l*b*h</f>
        <v>203</v>
      </c>
      <c r="G5" s="35"/>
      <c r="H5" s="36">
        <f>2*(l*b+b*h+l*h)</f>
        <v>238.6</v>
      </c>
      <c r="N5" s="46"/>
    </row>
    <row r="6" spans="1:17" s="4" customFormat="1" x14ac:dyDescent="0.2">
      <c r="A6" s="4" t="s">
        <v>131</v>
      </c>
      <c r="B6" s="24">
        <f>VLOOKUP(Nutzungsart,Nutzungsarten,2)</f>
        <v>0.56839873213222813</v>
      </c>
      <c r="C6" s="17">
        <f>VLOOKUP(Nutzungsart,Nutzungsarten,3)</f>
        <v>0.82417816159173074</v>
      </c>
      <c r="D6" s="17">
        <f>VLOOKUP(Nutzungsart,Nutzungsarten,4)</f>
        <v>0.68207847855867376</v>
      </c>
      <c r="E6" s="17">
        <f>VLOOKUP(Nutzungsart,Nutzungsarten,5)</f>
        <v>0.68207847855867376</v>
      </c>
      <c r="F6" s="17">
        <f>VLOOKUP(Nutzungsart,Nutzungsarten,6)</f>
        <v>0.68207847855867376</v>
      </c>
      <c r="G6" s="17">
        <f>VLOOKUP(Nutzungsart,Nutzungsarten,7)</f>
        <v>0.68207847855867376</v>
      </c>
      <c r="H6" s="17">
        <f>VLOOKUP(Nutzungsart,Nutzungsarten,8)</f>
        <v>0.68207847855867376</v>
      </c>
      <c r="I6" s="47"/>
      <c r="J6" s="47"/>
      <c r="K6" s="47"/>
      <c r="L6" s="47"/>
      <c r="M6" s="47"/>
      <c r="N6" s="47"/>
      <c r="O6" s="47"/>
      <c r="P6" s="47"/>
      <c r="Q6" s="47"/>
    </row>
    <row r="7" spans="1:17" s="4" customFormat="1" x14ac:dyDescent="0.2">
      <c r="A7" s="4" t="s">
        <v>132</v>
      </c>
      <c r="B7" s="24">
        <f>VLOOKUP(Nutzungsart,Nutzungsarten,16)</f>
        <v>0.23263135835351015</v>
      </c>
      <c r="C7" s="17">
        <f>VLOOKUP(Nutzungsart,Nutzungsarten,10)</f>
        <v>0.36945917588594829</v>
      </c>
      <c r="D7" s="17">
        <f>VLOOKUP(Nutzungsart,Nutzungsarten,11)</f>
        <v>0.45471898570578251</v>
      </c>
      <c r="E7" s="17">
        <f>VLOOKUP(Nutzungsart,Nutzungsarten,12)</f>
        <v>0.45471898570578251</v>
      </c>
      <c r="F7" s="17">
        <f>VLOOKUP(Nutzungsart,Nutzungsarten,13)</f>
        <v>0.45471898570578251</v>
      </c>
      <c r="G7" s="17">
        <f>VLOOKUP(Nutzungsart,Nutzungsarten,14)</f>
        <v>0.45471898570578251</v>
      </c>
      <c r="H7" s="17">
        <f>VLOOKUP(Nutzungsart,Nutzungsarten,15)</f>
        <v>0.36945917588594829</v>
      </c>
      <c r="I7" s="47"/>
      <c r="J7" s="47"/>
      <c r="K7" s="47"/>
      <c r="L7" s="47"/>
      <c r="M7" s="47"/>
      <c r="N7" s="47"/>
      <c r="O7" s="47"/>
      <c r="P7" s="47"/>
      <c r="Q7" s="47"/>
    </row>
    <row r="8" spans="1:17" x14ac:dyDescent="0.2">
      <c r="J8" s="48"/>
      <c r="N8" s="49"/>
    </row>
    <row r="9" spans="1:17" ht="14.25" x14ac:dyDescent="0.2">
      <c r="A9" s="5" t="s">
        <v>8</v>
      </c>
      <c r="B9" s="6" t="s">
        <v>23</v>
      </c>
      <c r="C9" s="134" t="s">
        <v>21</v>
      </c>
      <c r="D9" s="135"/>
      <c r="E9" s="135"/>
      <c r="F9" s="135"/>
      <c r="G9" s="135"/>
      <c r="H9" s="136"/>
      <c r="J9" s="137" t="s">
        <v>22</v>
      </c>
      <c r="K9" s="138"/>
      <c r="L9" s="138"/>
      <c r="M9" s="138"/>
      <c r="N9" s="138"/>
      <c r="O9" s="139"/>
    </row>
    <row r="10" spans="1:17" x14ac:dyDescent="0.2">
      <c r="A10" s="7"/>
      <c r="B10" s="8"/>
      <c r="C10" s="9" t="s">
        <v>1</v>
      </c>
      <c r="D10" s="10" t="s">
        <v>2</v>
      </c>
      <c r="E10" s="10" t="s">
        <v>3</v>
      </c>
      <c r="F10" s="10" t="s">
        <v>4</v>
      </c>
      <c r="G10" s="10" t="s">
        <v>5</v>
      </c>
      <c r="H10" s="11" t="s">
        <v>6</v>
      </c>
      <c r="J10" s="50" t="s">
        <v>1</v>
      </c>
      <c r="K10" s="51" t="s">
        <v>2</v>
      </c>
      <c r="L10" s="51" t="s">
        <v>3</v>
      </c>
      <c r="M10" s="51" t="s">
        <v>4</v>
      </c>
      <c r="N10" s="51" t="s">
        <v>5</v>
      </c>
      <c r="O10" s="52" t="s">
        <v>6</v>
      </c>
    </row>
    <row r="12" spans="1:17" ht="15.75" x14ac:dyDescent="0.2">
      <c r="A12" s="12" t="s">
        <v>7</v>
      </c>
      <c r="B12" s="13">
        <f>l*b</f>
        <v>70</v>
      </c>
      <c r="C12" s="13"/>
      <c r="D12" s="13"/>
      <c r="E12" s="13"/>
      <c r="F12" s="13"/>
      <c r="G12" s="13"/>
      <c r="H12" s="13"/>
      <c r="J12" s="53"/>
      <c r="K12" s="53"/>
      <c r="L12" s="53"/>
      <c r="M12" s="53"/>
      <c r="N12" s="53"/>
      <c r="O12" s="53"/>
    </row>
    <row r="13" spans="1:17" x14ac:dyDescent="0.2">
      <c r="A13" s="14" t="s">
        <v>91</v>
      </c>
      <c r="B13" s="15">
        <f>B12</f>
        <v>70</v>
      </c>
      <c r="C13" s="13">
        <f ca="1">IF(ISTEXT($A13),VLOOKUP($A13,Material,2,FALSE),"")</f>
        <v>0.02</v>
      </c>
      <c r="D13" s="13">
        <f ca="1">IF(ISTEXT($A13),VLOOKUP($A13,Material,3,FALSE),"")</f>
        <v>0.03</v>
      </c>
      <c r="E13" s="13">
        <f ca="1">IF(ISTEXT($A13),VLOOKUP($A13,Material,4,FALSE),"")</f>
        <v>0.04</v>
      </c>
      <c r="F13" s="13">
        <f ca="1">IF(ISTEXT($A13),VLOOKUP($A13,Material,5,FALSE),"")</f>
        <v>0.05</v>
      </c>
      <c r="G13" s="13">
        <f ca="1">IF(ISTEXT($A13),VLOOKUP($A13,Material,6,FALSE),"")</f>
        <v>7.0000000000000007E-2</v>
      </c>
      <c r="H13" s="13">
        <f ca="1">IF(ISTEXT($A13),VLOOKUP($A13,Material,7,FALSE),"")</f>
        <v>0.08</v>
      </c>
      <c r="J13" s="54">
        <f t="shared" ref="J13:O15" ca="1" si="0">IF(ISNUMBER(C13),$B13*C13,"")</f>
        <v>1.4000000000000001</v>
      </c>
      <c r="K13" s="54">
        <f t="shared" ca="1" si="0"/>
        <v>2.1</v>
      </c>
      <c r="L13" s="54">
        <f t="shared" ca="1" si="0"/>
        <v>2.8000000000000003</v>
      </c>
      <c r="M13" s="54">
        <f t="shared" ca="1" si="0"/>
        <v>3.5</v>
      </c>
      <c r="N13" s="54">
        <f t="shared" ca="1" si="0"/>
        <v>4.9000000000000004</v>
      </c>
      <c r="O13" s="54">
        <f t="shared" ca="1" si="0"/>
        <v>5.6000000000000005</v>
      </c>
    </row>
    <row r="14" spans="1:17" ht="12.75" customHeight="1" x14ac:dyDescent="0.2">
      <c r="A14" s="14"/>
      <c r="B14" s="15"/>
      <c r="C14" s="13" t="str">
        <f>IF(ISTEXT($A14),VLOOKUP($A14,Material,2,FALSE),"")</f>
        <v/>
      </c>
      <c r="D14" s="13" t="str">
        <f>IF(ISTEXT($A14),VLOOKUP($A14,Material,3,FALSE),"")</f>
        <v/>
      </c>
      <c r="E14" s="13" t="str">
        <f>IF(ISTEXT($A14),VLOOKUP($A14,Material,4,FALSE),"")</f>
        <v/>
      </c>
      <c r="F14" s="13" t="str">
        <f>IF(ISTEXT($A14),VLOOKUP($A14,Material,5,FALSE),"")</f>
        <v/>
      </c>
      <c r="G14" s="13" t="str">
        <f>IF(ISTEXT($A14),VLOOKUP($A14,Material,6,FALSE),"")</f>
        <v/>
      </c>
      <c r="H14" s="13" t="str">
        <f>IF(ISTEXT($A14),VLOOKUP($A14,Material,7,FALSE),"")</f>
        <v/>
      </c>
      <c r="J14" s="54" t="str">
        <f t="shared" si="0"/>
        <v/>
      </c>
      <c r="K14" s="54" t="str">
        <f t="shared" si="0"/>
        <v/>
      </c>
      <c r="L14" s="54" t="str">
        <f t="shared" si="0"/>
        <v/>
      </c>
      <c r="M14" s="54" t="str">
        <f t="shared" si="0"/>
        <v/>
      </c>
      <c r="N14" s="54" t="str">
        <f t="shared" si="0"/>
        <v/>
      </c>
      <c r="O14" s="54" t="str">
        <f t="shared" si="0"/>
        <v/>
      </c>
    </row>
    <row r="15" spans="1:17" ht="12.75" customHeight="1" x14ac:dyDescent="0.2">
      <c r="A15" s="14"/>
      <c r="B15" s="15"/>
      <c r="C15" s="13" t="str">
        <f>IF(ISTEXT($A15),VLOOKUP($A15,Material,2,FALSE),"")</f>
        <v/>
      </c>
      <c r="D15" s="13" t="str">
        <f>IF(ISTEXT($A15),VLOOKUP($A15,Material,3,FALSE),"")</f>
        <v/>
      </c>
      <c r="E15" s="13" t="str">
        <f>IF(ISTEXT($A15),VLOOKUP($A15,Material,4,FALSE),"")</f>
        <v/>
      </c>
      <c r="F15" s="13" t="str">
        <f>IF(ISTEXT($A15),VLOOKUP($A15,Material,5,FALSE),"")</f>
        <v/>
      </c>
      <c r="G15" s="13" t="str">
        <f>IF(ISTEXT($A15),VLOOKUP($A15,Material,6,FALSE),"")</f>
        <v/>
      </c>
      <c r="H15" s="13" t="str">
        <f>IF(ISTEXT($A15),VLOOKUP($A15,Material,7,FALSE),"")</f>
        <v/>
      </c>
      <c r="J15" s="54" t="str">
        <f t="shared" si="0"/>
        <v/>
      </c>
      <c r="K15" s="54" t="str">
        <f t="shared" si="0"/>
        <v/>
      </c>
      <c r="L15" s="54" t="str">
        <f t="shared" si="0"/>
        <v/>
      </c>
      <c r="M15" s="54" t="str">
        <f t="shared" si="0"/>
        <v/>
      </c>
      <c r="N15" s="54" t="str">
        <f t="shared" si="0"/>
        <v/>
      </c>
      <c r="O15" s="54" t="str">
        <f t="shared" si="0"/>
        <v/>
      </c>
    </row>
    <row r="16" spans="1:17" x14ac:dyDescent="0.2">
      <c r="A16" s="27" t="s">
        <v>11</v>
      </c>
      <c r="B16" s="26">
        <f>B12-SUM(B13:B15)</f>
        <v>0</v>
      </c>
      <c r="C16" s="13"/>
      <c r="D16" s="13"/>
      <c r="E16" s="13"/>
      <c r="F16" s="13"/>
      <c r="G16" s="13"/>
      <c r="H16" s="13"/>
      <c r="J16" s="54"/>
      <c r="K16" s="54"/>
      <c r="L16" s="54"/>
      <c r="M16" s="54"/>
      <c r="N16" s="54"/>
      <c r="O16" s="54"/>
    </row>
    <row r="17" spans="1:17" ht="15.75" x14ac:dyDescent="0.2">
      <c r="A17" s="12" t="s">
        <v>9</v>
      </c>
      <c r="B17" s="13">
        <f>2*b*h + 2*l*h</f>
        <v>98.6</v>
      </c>
      <c r="C17" s="13"/>
      <c r="D17" s="13"/>
      <c r="E17" s="13"/>
      <c r="F17" s="13"/>
      <c r="G17" s="13"/>
      <c r="H17" s="13"/>
      <c r="J17" s="54"/>
      <c r="K17" s="54"/>
      <c r="L17" s="54"/>
      <c r="M17" s="54"/>
      <c r="N17" s="54"/>
      <c r="O17" s="54"/>
    </row>
    <row r="18" spans="1:17" x14ac:dyDescent="0.2">
      <c r="A18" s="14" t="s">
        <v>91</v>
      </c>
      <c r="B18" s="15">
        <f>B17-(SUM(B19:B21))</f>
        <v>81.899999999999991</v>
      </c>
      <c r="C18" s="13">
        <f t="shared" ref="C18:C23" ca="1" si="1">IF(ISTEXT($A18),VLOOKUP($A18,Material,2,FALSE),"")</f>
        <v>0.02</v>
      </c>
      <c r="D18" s="13">
        <f t="shared" ref="D18:D23" ca="1" si="2">IF(ISTEXT($A18),VLOOKUP($A18,Material,3,FALSE),"")</f>
        <v>0.03</v>
      </c>
      <c r="E18" s="13">
        <f t="shared" ref="E18:E23" ca="1" si="3">IF(ISTEXT($A18),VLOOKUP($A18,Material,4,FALSE),"")</f>
        <v>0.04</v>
      </c>
      <c r="F18" s="13">
        <f t="shared" ref="F18:F23" ca="1" si="4">IF(ISTEXT($A18),VLOOKUP($A18,Material,5,FALSE),"")</f>
        <v>0.05</v>
      </c>
      <c r="G18" s="13">
        <f t="shared" ref="G18:G23" ca="1" si="5">IF(ISTEXT($A18),VLOOKUP($A18,Material,6,FALSE),"")</f>
        <v>7.0000000000000007E-2</v>
      </c>
      <c r="H18" s="13">
        <f t="shared" ref="H18:H23" ca="1" si="6">IF(ISTEXT($A18),VLOOKUP($A18,Material,7,FALSE),"")</f>
        <v>0.08</v>
      </c>
      <c r="J18" s="54">
        <f t="shared" ref="J18:O22" ca="1" si="7">IF(ISNUMBER(C18),$B18*C18,"")</f>
        <v>1.6379999999999999</v>
      </c>
      <c r="K18" s="54">
        <f t="shared" ca="1" si="7"/>
        <v>2.4569999999999999</v>
      </c>
      <c r="L18" s="54">
        <f t="shared" ca="1" si="7"/>
        <v>3.2759999999999998</v>
      </c>
      <c r="M18" s="54">
        <f t="shared" ca="1" si="7"/>
        <v>4.0949999999999998</v>
      </c>
      <c r="N18" s="54">
        <f t="shared" ca="1" si="7"/>
        <v>5.7329999999999997</v>
      </c>
      <c r="O18" s="54">
        <f t="shared" ca="1" si="7"/>
        <v>6.5519999999999996</v>
      </c>
    </row>
    <row r="19" spans="1:17" x14ac:dyDescent="0.2">
      <c r="A19" s="14" t="s">
        <v>94</v>
      </c>
      <c r="B19" s="15">
        <f>2*3.9*1.5</f>
        <v>11.7</v>
      </c>
      <c r="C19" s="13">
        <f t="shared" ca="1" si="1"/>
        <v>0.28000000000000003</v>
      </c>
      <c r="D19" s="13">
        <f t="shared" ca="1" si="2"/>
        <v>0.2</v>
      </c>
      <c r="E19" s="13">
        <f t="shared" ca="1" si="3"/>
        <v>0.11</v>
      </c>
      <c r="F19" s="13">
        <f t="shared" ca="1" si="4"/>
        <v>0.06</v>
      </c>
      <c r="G19" s="13">
        <f t="shared" ca="1" si="5"/>
        <v>0.03</v>
      </c>
      <c r="H19" s="13">
        <f t="shared" ca="1" si="6"/>
        <v>0.02</v>
      </c>
      <c r="J19" s="54">
        <f t="shared" ca="1" si="7"/>
        <v>3.2760000000000002</v>
      </c>
      <c r="K19" s="54">
        <f t="shared" ca="1" si="7"/>
        <v>2.34</v>
      </c>
      <c r="L19" s="54">
        <f t="shared" ca="1" si="7"/>
        <v>1.2869999999999999</v>
      </c>
      <c r="M19" s="54">
        <f t="shared" ca="1" si="7"/>
        <v>0.70199999999999996</v>
      </c>
      <c r="N19" s="54">
        <f t="shared" ca="1" si="7"/>
        <v>0.35099999999999998</v>
      </c>
      <c r="O19" s="54">
        <f t="shared" ca="1" si="7"/>
        <v>0.23399999999999999</v>
      </c>
    </row>
    <row r="20" spans="1:17" x14ac:dyDescent="0.2">
      <c r="A20" s="14" t="s">
        <v>96</v>
      </c>
      <c r="B20" s="15">
        <v>2</v>
      </c>
      <c r="C20" s="13">
        <f t="shared" ca="1" si="1"/>
        <v>0.1</v>
      </c>
      <c r="D20" s="13">
        <f t="shared" ca="1" si="2"/>
        <v>0.08</v>
      </c>
      <c r="E20" s="13">
        <f t="shared" ca="1" si="3"/>
        <v>0.06</v>
      </c>
      <c r="F20" s="13">
        <f t="shared" ca="1" si="4"/>
        <v>0.05</v>
      </c>
      <c r="G20" s="13">
        <f t="shared" ca="1" si="5"/>
        <v>0.05</v>
      </c>
      <c r="H20" s="13">
        <f t="shared" ca="1" si="6"/>
        <v>0.05</v>
      </c>
      <c r="J20" s="54">
        <f t="shared" ca="1" si="7"/>
        <v>0.2</v>
      </c>
      <c r="K20" s="54">
        <f t="shared" ca="1" si="7"/>
        <v>0.16</v>
      </c>
      <c r="L20" s="54">
        <f t="shared" ca="1" si="7"/>
        <v>0.12</v>
      </c>
      <c r="M20" s="54">
        <f t="shared" ca="1" si="7"/>
        <v>0.1</v>
      </c>
      <c r="N20" s="54">
        <f t="shared" ca="1" si="7"/>
        <v>0.1</v>
      </c>
      <c r="O20" s="54">
        <f t="shared" ca="1" si="7"/>
        <v>0.1</v>
      </c>
    </row>
    <row r="21" spans="1:17" x14ac:dyDescent="0.2">
      <c r="A21" s="14" t="s">
        <v>116</v>
      </c>
      <c r="B21" s="15">
        <v>3</v>
      </c>
      <c r="C21" s="13">
        <f t="shared" ca="1" si="1"/>
        <v>0.01</v>
      </c>
      <c r="D21" s="13">
        <f t="shared" ca="1" si="2"/>
        <v>0.01</v>
      </c>
      <c r="E21" s="13">
        <f t="shared" ca="1" si="3"/>
        <v>0.01</v>
      </c>
      <c r="F21" s="13">
        <f t="shared" ca="1" si="4"/>
        <v>0.02</v>
      </c>
      <c r="G21" s="13">
        <f t="shared" ca="1" si="5"/>
        <v>0.05</v>
      </c>
      <c r="H21" s="13">
        <f t="shared" ca="1" si="6"/>
        <v>0.02</v>
      </c>
      <c r="J21" s="54">
        <f t="shared" ca="1" si="7"/>
        <v>0.03</v>
      </c>
      <c r="K21" s="54">
        <f t="shared" ca="1" si="7"/>
        <v>0.03</v>
      </c>
      <c r="L21" s="54">
        <f t="shared" ca="1" si="7"/>
        <v>0.03</v>
      </c>
      <c r="M21" s="54">
        <f t="shared" ca="1" si="7"/>
        <v>0.06</v>
      </c>
      <c r="N21" s="54">
        <f t="shared" ca="1" si="7"/>
        <v>0.15000000000000002</v>
      </c>
      <c r="O21" s="54">
        <f t="shared" ca="1" si="7"/>
        <v>0.06</v>
      </c>
    </row>
    <row r="22" spans="1:17" x14ac:dyDescent="0.2">
      <c r="A22" s="14" t="s">
        <v>19</v>
      </c>
      <c r="B22" s="15">
        <f>l*h*0.7</f>
        <v>20.299999999999997</v>
      </c>
      <c r="C22" s="13">
        <f t="shared" ca="1" si="1"/>
        <v>0.03</v>
      </c>
      <c r="D22" s="13">
        <f t="shared" ca="1" si="2"/>
        <v>0.06</v>
      </c>
      <c r="E22" s="13">
        <f t="shared" ca="1" si="3"/>
        <v>0.13</v>
      </c>
      <c r="F22" s="13">
        <f t="shared" ca="1" si="4"/>
        <v>0.28000000000000003</v>
      </c>
      <c r="G22" s="13">
        <f t="shared" ca="1" si="5"/>
        <v>0.49</v>
      </c>
      <c r="H22" s="13">
        <f t="shared" ca="1" si="6"/>
        <v>0.56000000000000005</v>
      </c>
      <c r="J22" s="54">
        <f t="shared" ca="1" si="7"/>
        <v>0.60899999999999987</v>
      </c>
      <c r="K22" s="54">
        <f t="shared" ca="1" si="7"/>
        <v>1.2179999999999997</v>
      </c>
      <c r="L22" s="54">
        <f t="shared" ca="1" si="7"/>
        <v>2.6389999999999998</v>
      </c>
      <c r="M22" s="54">
        <f t="shared" ca="1" si="7"/>
        <v>5.6840000000000002</v>
      </c>
      <c r="N22" s="54">
        <f t="shared" ca="1" si="7"/>
        <v>9.9469999999999992</v>
      </c>
      <c r="O22" s="54">
        <f t="shared" ca="1" si="7"/>
        <v>11.368</v>
      </c>
    </row>
    <row r="23" spans="1:17" x14ac:dyDescent="0.2">
      <c r="A23" s="14"/>
      <c r="B23" s="15"/>
      <c r="C23" s="13" t="str">
        <f t="shared" si="1"/>
        <v/>
      </c>
      <c r="D23" s="13" t="str">
        <f t="shared" si="2"/>
        <v/>
      </c>
      <c r="E23" s="13" t="str">
        <f t="shared" si="3"/>
        <v/>
      </c>
      <c r="F23" s="13" t="str">
        <f t="shared" si="4"/>
        <v/>
      </c>
      <c r="G23" s="13" t="str">
        <f t="shared" si="5"/>
        <v/>
      </c>
      <c r="H23" s="13" t="str">
        <f t="shared" si="6"/>
        <v/>
      </c>
      <c r="J23" s="54" t="str">
        <f t="shared" ref="J23" si="8">IF(ISNUMBER(C23),$B23*C23,"")</f>
        <v/>
      </c>
      <c r="K23" s="54" t="str">
        <f t="shared" ref="K23" si="9">IF(ISNUMBER(D23),$B23*D23,"")</f>
        <v/>
      </c>
      <c r="L23" s="54" t="str">
        <f t="shared" ref="L23" si="10">IF(ISNUMBER(E23),$B23*E23,"")</f>
        <v/>
      </c>
      <c r="M23" s="54" t="str">
        <f t="shared" ref="M23" si="11">IF(ISNUMBER(F23),$B23*F23,"")</f>
        <v/>
      </c>
      <c r="N23" s="54" t="str">
        <f t="shared" ref="N23" si="12">IF(ISNUMBER(G23),$B23*G23,"")</f>
        <v/>
      </c>
      <c r="O23" s="54" t="str">
        <f t="shared" ref="O23" si="13">IF(ISNUMBER(H23),$B23*H23,"")</f>
        <v/>
      </c>
    </row>
    <row r="24" spans="1:17" x14ac:dyDescent="0.2">
      <c r="A24" s="27" t="s">
        <v>11</v>
      </c>
      <c r="B24" s="26">
        <f>B17-SUM(B18:B21)</f>
        <v>0</v>
      </c>
      <c r="C24" s="13"/>
      <c r="D24" s="13"/>
      <c r="E24" s="18"/>
      <c r="F24" s="13"/>
      <c r="G24" s="13"/>
      <c r="H24" s="13"/>
      <c r="J24" s="54"/>
      <c r="K24" s="54"/>
      <c r="L24" s="54"/>
      <c r="M24" s="54"/>
      <c r="N24" s="54"/>
      <c r="O24" s="54"/>
    </row>
    <row r="25" spans="1:17" ht="15.75" x14ac:dyDescent="0.2">
      <c r="A25" s="12" t="s">
        <v>10</v>
      </c>
      <c r="B25" s="13">
        <f>b*l</f>
        <v>70</v>
      </c>
      <c r="C25" s="13"/>
      <c r="D25" s="13"/>
      <c r="E25" s="13"/>
      <c r="F25" s="13"/>
      <c r="G25" s="13"/>
      <c r="H25" s="13"/>
      <c r="J25" s="54"/>
      <c r="K25" s="54"/>
      <c r="L25" s="54"/>
      <c r="M25" s="54"/>
      <c r="N25" s="54"/>
      <c r="O25" s="54"/>
    </row>
    <row r="26" spans="1:17" x14ac:dyDescent="0.2">
      <c r="A26" s="14" t="s">
        <v>100</v>
      </c>
      <c r="B26" s="15">
        <f>B25</f>
        <v>70</v>
      </c>
      <c r="C26" s="13">
        <f ca="1">IF(ISTEXT($A26),VLOOKUP($A26,Material,2,FALSE),"")</f>
        <v>0.02</v>
      </c>
      <c r="D26" s="13">
        <f ca="1">IF(ISTEXT($A26),VLOOKUP($A26,Material,3,FALSE),"")</f>
        <v>0.04</v>
      </c>
      <c r="E26" s="13">
        <f ca="1">IF(ISTEXT($A26),VLOOKUP($A26,Material,4,FALSE),"")</f>
        <v>7.0000000000000007E-2</v>
      </c>
      <c r="F26" s="13">
        <f ca="1">IF(ISTEXT($A26),VLOOKUP($A26,Material,5,FALSE),"")</f>
        <v>0.19</v>
      </c>
      <c r="G26" s="13">
        <f ca="1">IF(ISTEXT($A26),VLOOKUP($A26,Material,6,FALSE),"")</f>
        <v>0.28999999999999998</v>
      </c>
      <c r="H26" s="13">
        <f ca="1">IF(ISTEXT($A26),VLOOKUP($A26,Material,7,FALSE),"")</f>
        <v>0.35</v>
      </c>
      <c r="J26" s="54">
        <f t="shared" ref="J26:O26" ca="1" si="14">IF(ISNUMBER(C26),$B26*C26,"")</f>
        <v>1.4000000000000001</v>
      </c>
      <c r="K26" s="54">
        <f t="shared" ca="1" si="14"/>
        <v>2.8000000000000003</v>
      </c>
      <c r="L26" s="54">
        <f t="shared" ca="1" si="14"/>
        <v>4.9000000000000004</v>
      </c>
      <c r="M26" s="54">
        <f t="shared" ca="1" si="14"/>
        <v>13.3</v>
      </c>
      <c r="N26" s="54">
        <f t="shared" ca="1" si="14"/>
        <v>20.299999999999997</v>
      </c>
      <c r="O26" s="54">
        <f t="shared" ca="1" si="14"/>
        <v>24.5</v>
      </c>
    </row>
    <row r="27" spans="1:17" ht="12.75" customHeight="1" x14ac:dyDescent="0.2">
      <c r="A27" s="14"/>
      <c r="B27" s="15"/>
      <c r="C27" s="13" t="str">
        <f>IF(ISTEXT($A27),VLOOKUP($A27,Material,2,FALSE),"")</f>
        <v/>
      </c>
      <c r="D27" s="13" t="str">
        <f>IF(ISTEXT($A27),VLOOKUP($A27,Material,3,FALSE),"")</f>
        <v/>
      </c>
      <c r="E27" s="13" t="str">
        <f>IF(ISTEXT($A27),VLOOKUP($A27,Material,4,FALSE),"")</f>
        <v/>
      </c>
      <c r="F27" s="13" t="str">
        <f>IF(ISTEXT($A27),VLOOKUP($A27,Material,5,FALSE),"")</f>
        <v/>
      </c>
      <c r="G27" s="13" t="str">
        <f>IF(ISTEXT($A27),VLOOKUP($A27,Material,6,FALSE),"")</f>
        <v/>
      </c>
      <c r="H27" s="13" t="str">
        <f>IF(ISTEXT($A27),VLOOKUP($A27,Material,7,FALSE),"")</f>
        <v/>
      </c>
      <c r="J27" s="54" t="str">
        <f t="shared" ref="J27:J29" si="15">IF(ISNUMBER(C27),$B27*C27,"")</f>
        <v/>
      </c>
      <c r="K27" s="54" t="str">
        <f t="shared" ref="K27:K29" si="16">IF(ISNUMBER(D27),$B27*D27,"")</f>
        <v/>
      </c>
      <c r="L27" s="54" t="str">
        <f t="shared" ref="L27:L29" si="17">IF(ISNUMBER(E27),$B27*E27,"")</f>
        <v/>
      </c>
      <c r="M27" s="54" t="str">
        <f t="shared" ref="M27:M29" si="18">IF(ISNUMBER(F27),$B27*F27,"")</f>
        <v/>
      </c>
      <c r="N27" s="54" t="str">
        <f t="shared" ref="N27:N29" si="19">IF(ISNUMBER(G27),$B27*G27,"")</f>
        <v/>
      </c>
      <c r="O27" s="54" t="str">
        <f t="shared" ref="O27:O29" si="20">IF(ISNUMBER(H27),$B27*H27,"")</f>
        <v/>
      </c>
    </row>
    <row r="28" spans="1:17" ht="12.75" customHeight="1" x14ac:dyDescent="0.2">
      <c r="A28" s="14"/>
      <c r="B28" s="15"/>
      <c r="C28" s="13" t="str">
        <f>IF(ISTEXT($A28),VLOOKUP($A28,Material,2,FALSE),"")</f>
        <v/>
      </c>
      <c r="D28" s="13" t="str">
        <f>IF(ISTEXT($A28),VLOOKUP($A28,Material,3,FALSE),"")</f>
        <v/>
      </c>
      <c r="E28" s="13" t="str">
        <f>IF(ISTEXT($A28),VLOOKUP($A28,Material,4,FALSE),"")</f>
        <v/>
      </c>
      <c r="F28" s="13" t="str">
        <f>IF(ISTEXT($A28),VLOOKUP($A28,Material,5,FALSE),"")</f>
        <v/>
      </c>
      <c r="G28" s="13" t="str">
        <f>IF(ISTEXT($A28),VLOOKUP($A28,Material,6,FALSE),"")</f>
        <v/>
      </c>
      <c r="H28" s="13" t="str">
        <f>IF(ISTEXT($A28),VLOOKUP($A28,Material,7,FALSE),"")</f>
        <v/>
      </c>
      <c r="J28" s="54" t="str">
        <f t="shared" si="15"/>
        <v/>
      </c>
      <c r="K28" s="54" t="str">
        <f t="shared" si="16"/>
        <v/>
      </c>
      <c r="L28" s="54" t="str">
        <f t="shared" si="17"/>
        <v/>
      </c>
      <c r="M28" s="54" t="str">
        <f t="shared" si="18"/>
        <v/>
      </c>
      <c r="N28" s="54" t="str">
        <f t="shared" si="19"/>
        <v/>
      </c>
      <c r="O28" s="54" t="str">
        <f t="shared" si="20"/>
        <v/>
      </c>
    </row>
    <row r="29" spans="1:17" ht="12.75" customHeight="1" x14ac:dyDescent="0.2">
      <c r="A29" s="14"/>
      <c r="B29" s="15"/>
      <c r="C29" s="13" t="str">
        <f>IF(ISTEXT($A29),VLOOKUP($A29,Material,2,FALSE),"")</f>
        <v/>
      </c>
      <c r="D29" s="13" t="str">
        <f>IF(ISTEXT($A29),VLOOKUP($A29,Material,3,FALSE),"")</f>
        <v/>
      </c>
      <c r="E29" s="13" t="str">
        <f>IF(ISTEXT($A29),VLOOKUP($A29,Material,4,FALSE),"")</f>
        <v/>
      </c>
      <c r="F29" s="13" t="str">
        <f>IF(ISTEXT($A29),VLOOKUP($A29,Material,5,FALSE),"")</f>
        <v/>
      </c>
      <c r="G29" s="13" t="str">
        <f>IF(ISTEXT($A29),VLOOKUP($A29,Material,6,FALSE),"")</f>
        <v/>
      </c>
      <c r="H29" s="13" t="str">
        <f>IF(ISTEXT($A29),VLOOKUP($A29,Material,7,FALSE),"")</f>
        <v/>
      </c>
      <c r="J29" s="54" t="str">
        <f t="shared" si="15"/>
        <v/>
      </c>
      <c r="K29" s="54" t="str">
        <f t="shared" si="16"/>
        <v/>
      </c>
      <c r="L29" s="54" t="str">
        <f t="shared" si="17"/>
        <v/>
      </c>
      <c r="M29" s="54" t="str">
        <f t="shared" si="18"/>
        <v/>
      </c>
      <c r="N29" s="54" t="str">
        <f t="shared" si="19"/>
        <v/>
      </c>
      <c r="O29" s="54" t="str">
        <f t="shared" si="20"/>
        <v/>
      </c>
    </row>
    <row r="30" spans="1:17" x14ac:dyDescent="0.2">
      <c r="A30" s="27" t="s">
        <v>11</v>
      </c>
      <c r="B30" s="26">
        <f>B25-SUM(B26:B29)</f>
        <v>0</v>
      </c>
      <c r="J30" s="54"/>
      <c r="K30" s="54"/>
      <c r="L30" s="54"/>
      <c r="M30" s="54"/>
      <c r="N30" s="54"/>
      <c r="O30" s="54"/>
    </row>
    <row r="31" spans="1:17" s="43" customFormat="1" ht="15.75" x14ac:dyDescent="0.2">
      <c r="A31" s="40" t="s">
        <v>24</v>
      </c>
      <c r="B31" s="41">
        <f ca="1">IF(COUNT(C31:H31)&gt;0,ROUND(AVERAGE(C31:H31),2),"-")</f>
        <v>0.11</v>
      </c>
      <c r="C31" s="42">
        <f t="shared" ref="C31:H31" ca="1" si="21">IF(J31&lt;&gt;0,J31/Stotal,"-")</f>
        <v>3.5846605196982399E-2</v>
      </c>
      <c r="D31" s="42">
        <f t="shared" ca="1" si="21"/>
        <v>4.6542330259849121E-2</v>
      </c>
      <c r="E31" s="42">
        <f t="shared" ca="1" si="21"/>
        <v>6.3084660519698244E-2</v>
      </c>
      <c r="F31" s="42">
        <f t="shared" ca="1" si="21"/>
        <v>0.11500838222967311</v>
      </c>
      <c r="G31" s="42">
        <f t="shared" ca="1" si="21"/>
        <v>0.17385163453478625</v>
      </c>
      <c r="H31" s="42">
        <f t="shared" ca="1" si="21"/>
        <v>0.20290863369656328</v>
      </c>
      <c r="I31" s="55"/>
      <c r="J31" s="56">
        <f t="shared" ref="J31:O31" ca="1" si="22">SUM(J12:J30)</f>
        <v>8.5530000000000008</v>
      </c>
      <c r="K31" s="56">
        <f t="shared" ca="1" si="22"/>
        <v>11.105</v>
      </c>
      <c r="L31" s="56">
        <f t="shared" ca="1" si="22"/>
        <v>15.052000000000001</v>
      </c>
      <c r="M31" s="56">
        <f t="shared" ca="1" si="22"/>
        <v>27.441000000000003</v>
      </c>
      <c r="N31" s="56">
        <f t="shared" ca="1" si="22"/>
        <v>41.480999999999995</v>
      </c>
      <c r="O31" s="56">
        <f t="shared" ca="1" si="22"/>
        <v>48.414000000000001</v>
      </c>
      <c r="P31" s="55"/>
      <c r="Q31" s="55"/>
    </row>
    <row r="32" spans="1:17" x14ac:dyDescent="0.2">
      <c r="A32" s="19" t="s">
        <v>20</v>
      </c>
      <c r="B32" s="20">
        <f ca="1">AVERAGE(C32:H32)</f>
        <v>1.9556059343023664</v>
      </c>
      <c r="C32" s="20">
        <f t="shared" ref="C32:H32" ca="1" si="23">0.163*V/(Stotal*C31)</f>
        <v>3.8687010405705595</v>
      </c>
      <c r="D32" s="20">
        <f t="shared" ca="1" si="23"/>
        <v>2.9796488068437639</v>
      </c>
      <c r="E32" s="20">
        <f t="shared" ca="1" si="23"/>
        <v>2.198312516609088</v>
      </c>
      <c r="F32" s="20">
        <f t="shared" ca="1" si="23"/>
        <v>1.2058234029372106</v>
      </c>
      <c r="G32" s="20">
        <f t="shared" ca="1" si="23"/>
        <v>0.79769050890769277</v>
      </c>
      <c r="H32" s="20">
        <f t="shared" ca="1" si="23"/>
        <v>0.68345932994588332</v>
      </c>
      <c r="I32" s="47"/>
    </row>
    <row r="33" spans="1:17" x14ac:dyDescent="0.2">
      <c r="A33" s="19" t="s">
        <v>42</v>
      </c>
      <c r="B33" s="20">
        <f ca="1">AVERAGE(C33:H33)</f>
        <v>0.1170923645320197</v>
      </c>
      <c r="C33" s="19"/>
      <c r="D33" s="20">
        <f ca="1">K31/V</f>
        <v>5.4704433497536946E-2</v>
      </c>
      <c r="E33" s="20">
        <f ca="1">L31/V</f>
        <v>7.414778325123153E-2</v>
      </c>
      <c r="F33" s="20">
        <f ca="1">M31/V</f>
        <v>0.13517733990147784</v>
      </c>
      <c r="G33" s="20">
        <f ca="1">N31/V</f>
        <v>0.20433990147783249</v>
      </c>
      <c r="H33" s="19"/>
      <c r="J33" s="54"/>
      <c r="K33" s="54"/>
      <c r="L33" s="54"/>
      <c r="M33" s="54"/>
      <c r="N33" s="54"/>
      <c r="O33" s="54"/>
    </row>
    <row r="34" spans="1:17" x14ac:dyDescent="0.2">
      <c r="A34" s="16"/>
      <c r="B34" s="17"/>
      <c r="J34" s="54"/>
      <c r="K34" s="54"/>
      <c r="L34" s="54"/>
      <c r="M34" s="54"/>
      <c r="N34" s="54"/>
      <c r="O34" s="54"/>
    </row>
    <row r="35" spans="1:17" s="4" customFormat="1" ht="15.75" x14ac:dyDescent="0.2">
      <c r="A35" s="12" t="s">
        <v>60</v>
      </c>
      <c r="B35" s="21"/>
      <c r="C35" s="17"/>
      <c r="D35" s="17"/>
      <c r="E35" s="17"/>
      <c r="F35" s="17"/>
      <c r="G35" s="17"/>
      <c r="H35" s="17"/>
      <c r="I35" s="47"/>
      <c r="J35" s="57"/>
      <c r="K35" s="57"/>
      <c r="L35" s="57"/>
      <c r="M35" s="57"/>
      <c r="N35" s="57"/>
      <c r="O35" s="57"/>
      <c r="P35" s="47"/>
      <c r="Q35" s="47"/>
    </row>
    <row r="36" spans="1:17" x14ac:dyDescent="0.2">
      <c r="A36" s="14" t="s">
        <v>14</v>
      </c>
      <c r="B36" s="15">
        <v>6</v>
      </c>
      <c r="C36" s="13">
        <f t="shared" ref="C36:C42" ca="1" si="24">IF(ISTEXT($A36),VLOOKUP($A36,Material,2,FALSE),"")</f>
        <v>0.01</v>
      </c>
      <c r="D36" s="13">
        <f t="shared" ref="D36:D42" ca="1" si="25">IF(ISTEXT($A36),VLOOKUP($A36,Material,3,FALSE),"")</f>
        <v>0.01</v>
      </c>
      <c r="E36" s="13">
        <f t="shared" ref="E36:E42" ca="1" si="26">IF(ISTEXT($A36),VLOOKUP($A36,Material,4,FALSE),"")</f>
        <v>0.01</v>
      </c>
      <c r="F36" s="13">
        <f t="shared" ref="F36:F42" ca="1" si="27">IF(ISTEXT($A36),VLOOKUP($A36,Material,5,FALSE),"")</f>
        <v>0.02</v>
      </c>
      <c r="G36" s="13">
        <f t="shared" ref="G36:G42" ca="1" si="28">IF(ISTEXT($A36),VLOOKUP($A36,Material,6,FALSE),"")</f>
        <v>0.05</v>
      </c>
      <c r="H36" s="13">
        <f t="shared" ref="H36:H42" ca="1" si="29">IF(ISTEXT($A36),VLOOKUP($A36,Material,7,FALSE),"")</f>
        <v>0.02</v>
      </c>
      <c r="J36" s="54">
        <f ca="1">IF(ISNUMBER(C36),$B36*C36,"")</f>
        <v>0.06</v>
      </c>
      <c r="K36" s="54">
        <f t="shared" ref="J36:O42" ca="1" si="30">IF(ISNUMBER(D36),$B36*D36,"")</f>
        <v>0.06</v>
      </c>
      <c r="L36" s="54">
        <f t="shared" ca="1" si="30"/>
        <v>0.06</v>
      </c>
      <c r="M36" s="54">
        <f t="shared" ca="1" si="30"/>
        <v>0.12</v>
      </c>
      <c r="N36" s="54">
        <f t="shared" ca="1" si="30"/>
        <v>0.30000000000000004</v>
      </c>
      <c r="O36" s="54">
        <f t="shared" ca="1" si="30"/>
        <v>0.12</v>
      </c>
    </row>
    <row r="37" spans="1:17" x14ac:dyDescent="0.2">
      <c r="A37" s="14" t="s">
        <v>82</v>
      </c>
      <c r="B37" s="15">
        <v>23</v>
      </c>
      <c r="C37" s="13">
        <f t="shared" ca="1" si="24"/>
        <v>8.2500000000000004E-2</v>
      </c>
      <c r="D37" s="13">
        <f t="shared" ca="1" si="25"/>
        <v>0.13750000000000001</v>
      </c>
      <c r="E37" s="13">
        <f t="shared" ca="1" si="26"/>
        <v>0.16500000000000001</v>
      </c>
      <c r="F37" s="13">
        <f t="shared" ca="1" si="27"/>
        <v>0.1925</v>
      </c>
      <c r="G37" s="13">
        <f t="shared" ca="1" si="28"/>
        <v>0.22000000000000003</v>
      </c>
      <c r="H37" s="13">
        <f t="shared" ca="1" si="29"/>
        <v>0.22000000000000003</v>
      </c>
      <c r="J37" s="54">
        <f ca="1">IF(ISNUMBER(C37),$B37*C37,"")</f>
        <v>1.8975000000000002</v>
      </c>
      <c r="K37" s="54">
        <f t="shared" ca="1" si="30"/>
        <v>3.1625000000000001</v>
      </c>
      <c r="L37" s="54">
        <f t="shared" ca="1" si="30"/>
        <v>3.7950000000000004</v>
      </c>
      <c r="M37" s="54">
        <f t="shared" ca="1" si="30"/>
        <v>4.4275000000000002</v>
      </c>
      <c r="N37" s="54">
        <f t="shared" ca="1" si="30"/>
        <v>5.0600000000000005</v>
      </c>
      <c r="O37" s="54">
        <f t="shared" ca="1" si="30"/>
        <v>5.0600000000000005</v>
      </c>
    </row>
    <row r="38" spans="1:17" x14ac:dyDescent="0.2">
      <c r="A38" s="14" t="s">
        <v>124</v>
      </c>
      <c r="B38" s="15">
        <v>0</v>
      </c>
      <c r="C38" s="13">
        <f t="shared" ca="1" si="24"/>
        <v>0.5</v>
      </c>
      <c r="D38" s="13">
        <f t="shared" ca="1" si="25"/>
        <v>0.4</v>
      </c>
      <c r="E38" s="13">
        <f t="shared" ca="1" si="26"/>
        <v>0.45</v>
      </c>
      <c r="F38" s="13">
        <f t="shared" ca="1" si="27"/>
        <v>0.45</v>
      </c>
      <c r="G38" s="13">
        <f t="shared" ca="1" si="28"/>
        <v>0.6</v>
      </c>
      <c r="H38" s="13">
        <f t="shared" ca="1" si="29"/>
        <v>0.7</v>
      </c>
      <c r="J38" s="54">
        <f t="shared" ca="1" si="30"/>
        <v>0</v>
      </c>
      <c r="K38" s="54">
        <f t="shared" ca="1" si="30"/>
        <v>0</v>
      </c>
      <c r="L38" s="54">
        <f t="shared" ca="1" si="30"/>
        <v>0</v>
      </c>
      <c r="M38" s="54">
        <f t="shared" ca="1" si="30"/>
        <v>0</v>
      </c>
      <c r="N38" s="54">
        <f t="shared" ca="1" si="30"/>
        <v>0</v>
      </c>
      <c r="O38" s="54">
        <f t="shared" ca="1" si="30"/>
        <v>0</v>
      </c>
    </row>
    <row r="39" spans="1:17" x14ac:dyDescent="0.2">
      <c r="A39" s="14"/>
      <c r="B39" s="15"/>
      <c r="C39" s="13" t="str">
        <f t="shared" si="24"/>
        <v/>
      </c>
      <c r="D39" s="13" t="str">
        <f t="shared" si="25"/>
        <v/>
      </c>
      <c r="E39" s="13" t="str">
        <f t="shared" si="26"/>
        <v/>
      </c>
      <c r="F39" s="13" t="str">
        <f t="shared" si="27"/>
        <v/>
      </c>
      <c r="G39" s="13" t="str">
        <f t="shared" si="28"/>
        <v/>
      </c>
      <c r="H39" s="13" t="str">
        <f t="shared" si="29"/>
        <v/>
      </c>
      <c r="J39" s="54" t="str">
        <f t="shared" si="30"/>
        <v/>
      </c>
      <c r="K39" s="54" t="str">
        <f t="shared" si="30"/>
        <v/>
      </c>
      <c r="L39" s="54" t="str">
        <f t="shared" si="30"/>
        <v/>
      </c>
      <c r="M39" s="54" t="str">
        <f t="shared" si="30"/>
        <v/>
      </c>
      <c r="N39" s="54" t="str">
        <f t="shared" si="30"/>
        <v/>
      </c>
      <c r="O39" s="54" t="str">
        <f t="shared" si="30"/>
        <v/>
      </c>
    </row>
    <row r="40" spans="1:17" ht="12.75" customHeight="1" x14ac:dyDescent="0.2">
      <c r="A40" s="14"/>
      <c r="B40" s="15"/>
      <c r="C40" s="13" t="str">
        <f t="shared" si="24"/>
        <v/>
      </c>
      <c r="D40" s="13" t="str">
        <f t="shared" si="25"/>
        <v/>
      </c>
      <c r="E40" s="13" t="str">
        <f t="shared" si="26"/>
        <v/>
      </c>
      <c r="F40" s="13" t="str">
        <f t="shared" si="27"/>
        <v/>
      </c>
      <c r="G40" s="13" t="str">
        <f t="shared" si="28"/>
        <v/>
      </c>
      <c r="H40" s="13" t="str">
        <f t="shared" si="29"/>
        <v/>
      </c>
      <c r="J40" s="53" t="str">
        <f t="shared" si="30"/>
        <v/>
      </c>
      <c r="K40" s="53" t="str">
        <f t="shared" si="30"/>
        <v/>
      </c>
      <c r="L40" s="53" t="str">
        <f t="shared" si="30"/>
        <v/>
      </c>
      <c r="M40" s="53" t="str">
        <f t="shared" si="30"/>
        <v/>
      </c>
      <c r="N40" s="53" t="str">
        <f t="shared" si="30"/>
        <v/>
      </c>
      <c r="O40" s="53" t="str">
        <f t="shared" si="30"/>
        <v/>
      </c>
    </row>
    <row r="41" spans="1:17" ht="12.75" customHeight="1" x14ac:dyDescent="0.2">
      <c r="A41" s="14"/>
      <c r="B41" s="15"/>
      <c r="C41" s="13" t="str">
        <f t="shared" si="24"/>
        <v/>
      </c>
      <c r="D41" s="13" t="str">
        <f t="shared" si="25"/>
        <v/>
      </c>
      <c r="E41" s="13" t="str">
        <f t="shared" si="26"/>
        <v/>
      </c>
      <c r="F41" s="13" t="str">
        <f t="shared" si="27"/>
        <v/>
      </c>
      <c r="G41" s="13" t="str">
        <f t="shared" si="28"/>
        <v/>
      </c>
      <c r="H41" s="13" t="str">
        <f t="shared" si="29"/>
        <v/>
      </c>
      <c r="J41" s="53" t="str">
        <f t="shared" si="30"/>
        <v/>
      </c>
      <c r="K41" s="53" t="str">
        <f t="shared" si="30"/>
        <v/>
      </c>
      <c r="L41" s="53" t="str">
        <f t="shared" si="30"/>
        <v/>
      </c>
      <c r="M41" s="53" t="str">
        <f t="shared" si="30"/>
        <v/>
      </c>
      <c r="N41" s="53" t="str">
        <f t="shared" si="30"/>
        <v/>
      </c>
      <c r="O41" s="53" t="str">
        <f t="shared" si="30"/>
        <v/>
      </c>
    </row>
    <row r="42" spans="1:17" ht="12.75" customHeight="1" x14ac:dyDescent="0.2">
      <c r="A42" s="14"/>
      <c r="B42" s="15"/>
      <c r="C42" s="13" t="str">
        <f t="shared" si="24"/>
        <v/>
      </c>
      <c r="D42" s="13" t="str">
        <f t="shared" si="25"/>
        <v/>
      </c>
      <c r="E42" s="13" t="str">
        <f t="shared" si="26"/>
        <v/>
      </c>
      <c r="F42" s="13" t="str">
        <f t="shared" si="27"/>
        <v/>
      </c>
      <c r="G42" s="13" t="str">
        <f t="shared" si="28"/>
        <v/>
      </c>
      <c r="H42" s="13" t="str">
        <f t="shared" si="29"/>
        <v/>
      </c>
      <c r="J42" s="53" t="str">
        <f t="shared" si="30"/>
        <v/>
      </c>
      <c r="K42" s="53" t="str">
        <f t="shared" si="30"/>
        <v/>
      </c>
      <c r="L42" s="53" t="str">
        <f t="shared" si="30"/>
        <v/>
      </c>
      <c r="M42" s="53" t="str">
        <f t="shared" si="30"/>
        <v/>
      </c>
      <c r="N42" s="53" t="str">
        <f t="shared" si="30"/>
        <v/>
      </c>
      <c r="O42" s="53" t="str">
        <f t="shared" si="30"/>
        <v/>
      </c>
    </row>
    <row r="43" spans="1:17" s="4" customFormat="1" ht="15.75" x14ac:dyDescent="0.2">
      <c r="A43" s="4" t="s">
        <v>24</v>
      </c>
      <c r="B43" s="39">
        <f ca="1">IF(COUNT(C43:H43)&gt;0,ROUND(AVERAGE(C43:H43),2),"-")</f>
        <v>0.12</v>
      </c>
      <c r="C43" s="17">
        <f t="shared" ref="C43:H43" ca="1" si="31">IF(J43&lt;&gt;0,J43/Stotal,"-")</f>
        <v>4.405071248952222E-2</v>
      </c>
      <c r="D43" s="17">
        <f t="shared" ca="1" si="31"/>
        <v>6.0048197820620292E-2</v>
      </c>
      <c r="E43" s="17">
        <f t="shared" ca="1" si="31"/>
        <v>7.9241408214585099E-2</v>
      </c>
      <c r="F43" s="17">
        <f t="shared" ca="1" si="31"/>
        <v>0.13406747694886842</v>
      </c>
      <c r="G43" s="17">
        <f t="shared" ca="1" si="31"/>
        <v>0.19631601005867558</v>
      </c>
      <c r="H43" s="17">
        <f t="shared" ca="1" si="31"/>
        <v>0.22461860854987428</v>
      </c>
      <c r="I43" s="47"/>
      <c r="J43" s="58">
        <f t="shared" ref="J43:O43" ca="1" si="32">SUM(J31:J42)</f>
        <v>10.510500000000002</v>
      </c>
      <c r="K43" s="58">
        <f t="shared" ca="1" si="32"/>
        <v>14.327500000000001</v>
      </c>
      <c r="L43" s="58">
        <f t="shared" ca="1" si="32"/>
        <v>18.907000000000004</v>
      </c>
      <c r="M43" s="58">
        <f t="shared" ca="1" si="32"/>
        <v>31.988500000000002</v>
      </c>
      <c r="N43" s="58">
        <f t="shared" ca="1" si="32"/>
        <v>46.840999999999994</v>
      </c>
      <c r="O43" s="58">
        <f t="shared" ca="1" si="32"/>
        <v>53.594000000000001</v>
      </c>
      <c r="P43" s="47"/>
      <c r="Q43" s="47"/>
    </row>
    <row r="44" spans="1:17" x14ac:dyDescent="0.2">
      <c r="A44" s="19" t="s">
        <v>15</v>
      </c>
      <c r="B44" s="20">
        <f ca="1">AVERAGE(C44:H44)</f>
        <v>1.5943279555160903</v>
      </c>
      <c r="C44" s="20">
        <f t="shared" ref="C44:H44" ca="1" si="33">0.163*V/(Stotal*C43)</f>
        <v>3.1481851481851475</v>
      </c>
      <c r="D44" s="20">
        <f t="shared" ca="1" si="33"/>
        <v>2.3094747862502181</v>
      </c>
      <c r="E44" s="20">
        <f t="shared" ca="1" si="33"/>
        <v>1.7500925583117359</v>
      </c>
      <c r="F44" s="20">
        <f t="shared" ca="1" si="33"/>
        <v>1.0344029885740185</v>
      </c>
      <c r="G44" s="20">
        <f t="shared" ca="1" si="33"/>
        <v>0.70641105014837435</v>
      </c>
      <c r="H44" s="20">
        <f t="shared" ca="1" si="33"/>
        <v>0.61740120162704781</v>
      </c>
      <c r="I44" s="47"/>
    </row>
    <row r="45" spans="1:17" s="4" customFormat="1" x14ac:dyDescent="0.2">
      <c r="A45" s="19" t="s">
        <v>42</v>
      </c>
      <c r="B45" s="20">
        <f ca="1">AVERAGE(C45:H45)</f>
        <v>0.13800985221674877</v>
      </c>
      <c r="C45" s="19"/>
      <c r="D45" s="20">
        <f ca="1">K43/V</f>
        <v>7.0578817733990148E-2</v>
      </c>
      <c r="E45" s="20">
        <f ca="1">L43/V</f>
        <v>9.3137931034482771E-2</v>
      </c>
      <c r="F45" s="20">
        <f ca="1">M43/V</f>
        <v>0.15757881773399016</v>
      </c>
      <c r="G45" s="20">
        <f ca="1">N43/V</f>
        <v>0.23074384236453199</v>
      </c>
      <c r="H45" s="22"/>
      <c r="I45" s="47"/>
      <c r="J45" s="59"/>
      <c r="K45" s="47"/>
      <c r="L45" s="47"/>
      <c r="M45" s="47"/>
      <c r="N45" s="47"/>
      <c r="O45" s="47"/>
      <c r="P45" s="47"/>
      <c r="Q45" s="47"/>
    </row>
    <row r="46" spans="1:17" s="4" customFormat="1" x14ac:dyDescent="0.2">
      <c r="A46" s="23"/>
      <c r="B46" s="24"/>
      <c r="C46" s="24"/>
      <c r="D46" s="24"/>
      <c r="E46" s="24"/>
      <c r="F46" s="24"/>
      <c r="G46" s="24"/>
      <c r="H46" s="24"/>
      <c r="I46" s="47"/>
      <c r="J46" s="59"/>
      <c r="K46" s="47"/>
      <c r="L46" s="47"/>
      <c r="M46" s="47"/>
      <c r="N46" s="47"/>
      <c r="O46" s="47"/>
      <c r="P46" s="47"/>
      <c r="Q46" s="47"/>
    </row>
    <row r="47" spans="1:17" s="4" customFormat="1" ht="15.75" x14ac:dyDescent="0.2">
      <c r="A47" s="12" t="s">
        <v>26</v>
      </c>
      <c r="B47" s="21"/>
      <c r="C47" s="17"/>
      <c r="D47" s="17"/>
      <c r="E47" s="17"/>
      <c r="F47" s="17"/>
      <c r="G47" s="17"/>
      <c r="H47" s="17"/>
      <c r="I47" s="47"/>
      <c r="J47" s="57"/>
      <c r="K47" s="57"/>
      <c r="L47" s="57"/>
      <c r="M47" s="57"/>
      <c r="N47" s="57"/>
      <c r="O47" s="57"/>
      <c r="P47" s="47"/>
      <c r="Q47" s="47"/>
    </row>
    <row r="48" spans="1:17" x14ac:dyDescent="0.2">
      <c r="A48" s="14" t="s">
        <v>30</v>
      </c>
      <c r="B48" s="15">
        <f>10*2*0.4</f>
        <v>8</v>
      </c>
      <c r="C48" s="13">
        <f t="shared" ref="C48:C60" ca="1" si="34">IF(ISTEXT($A48),VLOOKUP($A48,Material,2,FALSE),"")</f>
        <v>0.42</v>
      </c>
      <c r="D48" s="13">
        <f t="shared" ref="D48:D60" ca="1" si="35">IF(ISTEXT($A48),VLOOKUP($A48,Material,3,FALSE),"")</f>
        <v>0.74</v>
      </c>
      <c r="E48" s="13">
        <f t="shared" ref="E48:E60" ca="1" si="36">IF(ISTEXT($A48),VLOOKUP($A48,Material,4,FALSE),"")</f>
        <v>0.96</v>
      </c>
      <c r="F48" s="13">
        <f t="shared" ref="F48:F60" ca="1" si="37">IF(ISTEXT($A48),VLOOKUP($A48,Material,5,FALSE),"")</f>
        <v>0.79</v>
      </c>
      <c r="G48" s="13">
        <f t="shared" ref="G48:G60" ca="1" si="38">IF(ISTEXT($A48),VLOOKUP($A48,Material,6,FALSE),"")</f>
        <v>0.83</v>
      </c>
      <c r="H48" s="13">
        <f t="shared" ref="H48:H60" ca="1" si="39">IF(ISTEXT($A48),VLOOKUP($A48,Material,7,FALSE),"")</f>
        <v>0.94</v>
      </c>
      <c r="J48" s="54">
        <f ca="1">IF(ISNUMBER(C48),$B48*C48,"")</f>
        <v>3.36</v>
      </c>
      <c r="K48" s="54">
        <f t="shared" ref="K48:O53" ca="1" si="40">IF(ISNUMBER(D48),$B48*D48,"")</f>
        <v>5.92</v>
      </c>
      <c r="L48" s="54">
        <f t="shared" ca="1" si="40"/>
        <v>7.68</v>
      </c>
      <c r="M48" s="54">
        <f t="shared" ca="1" si="40"/>
        <v>6.32</v>
      </c>
      <c r="N48" s="54">
        <f t="shared" ca="1" si="40"/>
        <v>6.64</v>
      </c>
      <c r="O48" s="54">
        <f t="shared" ca="1" si="40"/>
        <v>7.52</v>
      </c>
    </row>
    <row r="49" spans="1:17" x14ac:dyDescent="0.2">
      <c r="A49" s="14" t="s">
        <v>30</v>
      </c>
      <c r="B49" s="15">
        <f>2*2*0.4</f>
        <v>1.6</v>
      </c>
      <c r="C49" s="13">
        <f t="shared" ca="1" si="34"/>
        <v>0.42</v>
      </c>
      <c r="D49" s="13">
        <f t="shared" ca="1" si="35"/>
        <v>0.74</v>
      </c>
      <c r="E49" s="13">
        <f t="shared" ca="1" si="36"/>
        <v>0.96</v>
      </c>
      <c r="F49" s="13">
        <f t="shared" ca="1" si="37"/>
        <v>0.79</v>
      </c>
      <c r="G49" s="13">
        <f t="shared" ca="1" si="38"/>
        <v>0.83</v>
      </c>
      <c r="H49" s="13">
        <f t="shared" ca="1" si="39"/>
        <v>0.94</v>
      </c>
      <c r="J49" s="54">
        <f ca="1">IF(ISNUMBER(C49),$B49*C49,"")</f>
        <v>0.67200000000000004</v>
      </c>
      <c r="K49" s="54">
        <f t="shared" ca="1" si="40"/>
        <v>1.1839999999999999</v>
      </c>
      <c r="L49" s="54">
        <f t="shared" ca="1" si="40"/>
        <v>1.536</v>
      </c>
      <c r="M49" s="54">
        <f t="shared" ca="1" si="40"/>
        <v>1.2640000000000002</v>
      </c>
      <c r="N49" s="54">
        <f t="shared" ca="1" si="40"/>
        <v>1.3280000000000001</v>
      </c>
      <c r="O49" s="54">
        <f t="shared" ca="1" si="40"/>
        <v>1.504</v>
      </c>
    </row>
    <row r="50" spans="1:17" x14ac:dyDescent="0.2">
      <c r="A50" s="14" t="s">
        <v>30</v>
      </c>
      <c r="B50" s="15">
        <f>2*2.4*1.2</f>
        <v>5.76</v>
      </c>
      <c r="C50" s="13">
        <f t="shared" ca="1" si="34"/>
        <v>0.42</v>
      </c>
      <c r="D50" s="13">
        <f t="shared" ca="1" si="35"/>
        <v>0.74</v>
      </c>
      <c r="E50" s="13">
        <f t="shared" ca="1" si="36"/>
        <v>0.96</v>
      </c>
      <c r="F50" s="13">
        <f t="shared" ca="1" si="37"/>
        <v>0.79</v>
      </c>
      <c r="G50" s="13">
        <f t="shared" ca="1" si="38"/>
        <v>0.83</v>
      </c>
      <c r="H50" s="13">
        <f t="shared" ca="1" si="39"/>
        <v>0.94</v>
      </c>
      <c r="J50" s="54">
        <f t="shared" ref="J50:J53" ca="1" si="41">IF(ISNUMBER(C50),$B50*C50,"")</f>
        <v>2.4192</v>
      </c>
      <c r="K50" s="54">
        <f t="shared" ca="1" si="40"/>
        <v>4.2623999999999995</v>
      </c>
      <c r="L50" s="54">
        <f t="shared" ca="1" si="40"/>
        <v>5.5295999999999994</v>
      </c>
      <c r="M50" s="54">
        <f t="shared" ca="1" si="40"/>
        <v>4.5503999999999998</v>
      </c>
      <c r="N50" s="54">
        <f t="shared" ca="1" si="40"/>
        <v>4.7807999999999993</v>
      </c>
      <c r="O50" s="54">
        <f t="shared" ca="1" si="40"/>
        <v>5.4143999999999997</v>
      </c>
    </row>
    <row r="51" spans="1:17" x14ac:dyDescent="0.2">
      <c r="A51" s="14" t="s">
        <v>28</v>
      </c>
      <c r="B51" s="15">
        <f>6*0.8*0.4+6*0.4*0.4</f>
        <v>2.8800000000000008</v>
      </c>
      <c r="C51" s="13">
        <f t="shared" ca="1" si="34"/>
        <v>0.09</v>
      </c>
      <c r="D51" s="13">
        <f t="shared" ca="1" si="35"/>
        <v>0.28999999999999998</v>
      </c>
      <c r="E51" s="13">
        <f t="shared" ca="1" si="36"/>
        <v>0.68</v>
      </c>
      <c r="F51" s="13">
        <f t="shared" ca="1" si="37"/>
        <v>0.95</v>
      </c>
      <c r="G51" s="13">
        <f t="shared" ca="1" si="38"/>
        <v>0.95</v>
      </c>
      <c r="H51" s="13">
        <f t="shared" ca="1" si="39"/>
        <v>0.91</v>
      </c>
      <c r="J51" s="54">
        <f t="shared" ca="1" si="41"/>
        <v>0.25920000000000004</v>
      </c>
      <c r="K51" s="54">
        <f t="shared" ca="1" si="40"/>
        <v>0.83520000000000016</v>
      </c>
      <c r="L51" s="54">
        <f t="shared" ca="1" si="40"/>
        <v>1.9584000000000006</v>
      </c>
      <c r="M51" s="54">
        <f t="shared" ca="1" si="40"/>
        <v>2.7360000000000007</v>
      </c>
      <c r="N51" s="54">
        <f t="shared" ca="1" si="40"/>
        <v>2.7360000000000007</v>
      </c>
      <c r="O51" s="54">
        <f t="shared" ca="1" si="40"/>
        <v>2.6208000000000009</v>
      </c>
    </row>
    <row r="52" spans="1:17" ht="12.75" customHeight="1" x14ac:dyDescent="0.2">
      <c r="A52" s="14" t="s">
        <v>28</v>
      </c>
      <c r="B52" s="15">
        <f>4*0.8*0.4+5*0.4*0.4</f>
        <v>2.08</v>
      </c>
      <c r="C52" s="13">
        <f t="shared" ca="1" si="34"/>
        <v>0.09</v>
      </c>
      <c r="D52" s="13">
        <f t="shared" ca="1" si="35"/>
        <v>0.28999999999999998</v>
      </c>
      <c r="E52" s="13">
        <f t="shared" ca="1" si="36"/>
        <v>0.68</v>
      </c>
      <c r="F52" s="13">
        <f t="shared" ca="1" si="37"/>
        <v>0.95</v>
      </c>
      <c r="G52" s="13">
        <f t="shared" ca="1" si="38"/>
        <v>0.95</v>
      </c>
      <c r="H52" s="13">
        <f t="shared" ca="1" si="39"/>
        <v>0.91</v>
      </c>
      <c r="J52" s="54">
        <f t="shared" ca="1" si="41"/>
        <v>0.18720000000000001</v>
      </c>
      <c r="K52" s="54">
        <f t="shared" ca="1" si="40"/>
        <v>0.60319999999999996</v>
      </c>
      <c r="L52" s="54">
        <f t="shared" ca="1" si="40"/>
        <v>1.4144000000000001</v>
      </c>
      <c r="M52" s="54">
        <f t="shared" ca="1" si="40"/>
        <v>1.976</v>
      </c>
      <c r="N52" s="54">
        <f t="shared" ca="1" si="40"/>
        <v>1.976</v>
      </c>
      <c r="O52" s="54">
        <f t="shared" ca="1" si="40"/>
        <v>1.8928</v>
      </c>
    </row>
    <row r="53" spans="1:17" ht="12.75" customHeight="1" x14ac:dyDescent="0.2">
      <c r="A53" s="14" t="s">
        <v>28</v>
      </c>
      <c r="B53" s="15">
        <f>6*0.8*0.4+6*0.4*0.4</f>
        <v>2.8800000000000008</v>
      </c>
      <c r="C53" s="13">
        <f t="shared" ca="1" si="34"/>
        <v>0.09</v>
      </c>
      <c r="D53" s="13">
        <f t="shared" ca="1" si="35"/>
        <v>0.28999999999999998</v>
      </c>
      <c r="E53" s="13">
        <f t="shared" ca="1" si="36"/>
        <v>0.68</v>
      </c>
      <c r="F53" s="13">
        <f t="shared" ca="1" si="37"/>
        <v>0.95</v>
      </c>
      <c r="G53" s="13">
        <f t="shared" ca="1" si="38"/>
        <v>0.95</v>
      </c>
      <c r="H53" s="13">
        <f t="shared" ca="1" si="39"/>
        <v>0.91</v>
      </c>
      <c r="J53" s="53">
        <f t="shared" ca="1" si="41"/>
        <v>0.25920000000000004</v>
      </c>
      <c r="K53" s="53">
        <f t="shared" ca="1" si="40"/>
        <v>0.83520000000000016</v>
      </c>
      <c r="L53" s="53">
        <f t="shared" ca="1" si="40"/>
        <v>1.9584000000000006</v>
      </c>
      <c r="M53" s="53">
        <f t="shared" ca="1" si="40"/>
        <v>2.7360000000000007</v>
      </c>
      <c r="N53" s="53">
        <f t="shared" ca="1" si="40"/>
        <v>2.7360000000000007</v>
      </c>
      <c r="O53" s="53">
        <f t="shared" ca="1" si="40"/>
        <v>2.6208000000000009</v>
      </c>
    </row>
    <row r="54" spans="1:17" ht="12.75" customHeight="1" x14ac:dyDescent="0.2">
      <c r="A54" s="14"/>
      <c r="B54" s="15"/>
      <c r="C54" s="13" t="str">
        <f t="shared" si="34"/>
        <v/>
      </c>
      <c r="D54" s="13" t="str">
        <f t="shared" si="35"/>
        <v/>
      </c>
      <c r="E54" s="13" t="str">
        <f t="shared" si="36"/>
        <v/>
      </c>
      <c r="F54" s="13" t="str">
        <f t="shared" si="37"/>
        <v/>
      </c>
      <c r="G54" s="13" t="str">
        <f t="shared" si="38"/>
        <v/>
      </c>
      <c r="H54" s="13" t="str">
        <f t="shared" si="39"/>
        <v/>
      </c>
      <c r="J54" s="53" t="str">
        <f t="shared" ref="J54:J60" si="42">IF(ISNUMBER(C54),$B54*C54,"")</f>
        <v/>
      </c>
      <c r="K54" s="53" t="str">
        <f t="shared" ref="K54:K60" si="43">IF(ISNUMBER(D54),$B54*D54,"")</f>
        <v/>
      </c>
      <c r="L54" s="53" t="str">
        <f t="shared" ref="L54:L60" si="44">IF(ISNUMBER(E54),$B54*E54,"")</f>
        <v/>
      </c>
      <c r="M54" s="53" t="str">
        <f t="shared" ref="M54:M60" si="45">IF(ISNUMBER(F54),$B54*F54,"")</f>
        <v/>
      </c>
      <c r="N54" s="53" t="str">
        <f t="shared" ref="N54:N60" si="46">IF(ISNUMBER(G54),$B54*G54,"")</f>
        <v/>
      </c>
      <c r="O54" s="53" t="str">
        <f t="shared" ref="O54:O60" si="47">IF(ISNUMBER(H54),$B54*H54,"")</f>
        <v/>
      </c>
    </row>
    <row r="55" spans="1:17" ht="12.75" customHeight="1" x14ac:dyDescent="0.2">
      <c r="A55" s="14"/>
      <c r="B55" s="15"/>
      <c r="C55" s="13" t="str">
        <f t="shared" si="34"/>
        <v/>
      </c>
      <c r="D55" s="13" t="str">
        <f t="shared" si="35"/>
        <v/>
      </c>
      <c r="E55" s="13" t="str">
        <f t="shared" si="36"/>
        <v/>
      </c>
      <c r="F55" s="13" t="str">
        <f t="shared" si="37"/>
        <v/>
      </c>
      <c r="G55" s="13" t="str">
        <f t="shared" si="38"/>
        <v/>
      </c>
      <c r="H55" s="13" t="str">
        <f t="shared" si="39"/>
        <v/>
      </c>
      <c r="J55" s="53" t="str">
        <f t="shared" si="42"/>
        <v/>
      </c>
      <c r="K55" s="53" t="str">
        <f t="shared" si="43"/>
        <v/>
      </c>
      <c r="L55" s="53" t="str">
        <f t="shared" si="44"/>
        <v/>
      </c>
      <c r="M55" s="53" t="str">
        <f t="shared" si="45"/>
        <v/>
      </c>
      <c r="N55" s="53" t="str">
        <f t="shared" si="46"/>
        <v/>
      </c>
      <c r="O55" s="53" t="str">
        <f t="shared" si="47"/>
        <v/>
      </c>
    </row>
    <row r="56" spans="1:17" ht="12.75" customHeight="1" x14ac:dyDescent="0.2">
      <c r="A56" s="14"/>
      <c r="B56" s="15"/>
      <c r="C56" s="13" t="str">
        <f t="shared" si="34"/>
        <v/>
      </c>
      <c r="D56" s="13" t="str">
        <f t="shared" si="35"/>
        <v/>
      </c>
      <c r="E56" s="13" t="str">
        <f t="shared" si="36"/>
        <v/>
      </c>
      <c r="F56" s="13" t="str">
        <f t="shared" si="37"/>
        <v/>
      </c>
      <c r="G56" s="13" t="str">
        <f t="shared" si="38"/>
        <v/>
      </c>
      <c r="H56" s="13" t="str">
        <f t="shared" si="39"/>
        <v/>
      </c>
      <c r="J56" s="53" t="str">
        <f t="shared" si="42"/>
        <v/>
      </c>
      <c r="K56" s="53" t="str">
        <f t="shared" si="43"/>
        <v/>
      </c>
      <c r="L56" s="53" t="str">
        <f t="shared" si="44"/>
        <v/>
      </c>
      <c r="M56" s="53" t="str">
        <f t="shared" si="45"/>
        <v/>
      </c>
      <c r="N56" s="53" t="str">
        <f t="shared" si="46"/>
        <v/>
      </c>
      <c r="O56" s="53" t="str">
        <f t="shared" si="47"/>
        <v/>
      </c>
    </row>
    <row r="57" spans="1:17" ht="12.75" customHeight="1" x14ac:dyDescent="0.2">
      <c r="A57" s="14"/>
      <c r="B57" s="15"/>
      <c r="C57" s="13" t="str">
        <f t="shared" si="34"/>
        <v/>
      </c>
      <c r="D57" s="13" t="str">
        <f t="shared" si="35"/>
        <v/>
      </c>
      <c r="E57" s="13" t="str">
        <f t="shared" si="36"/>
        <v/>
      </c>
      <c r="F57" s="13" t="str">
        <f t="shared" si="37"/>
        <v/>
      </c>
      <c r="G57" s="13" t="str">
        <f t="shared" si="38"/>
        <v/>
      </c>
      <c r="H57" s="13" t="str">
        <f t="shared" si="39"/>
        <v/>
      </c>
      <c r="J57" s="53" t="str">
        <f t="shared" si="42"/>
        <v/>
      </c>
      <c r="K57" s="53" t="str">
        <f t="shared" si="43"/>
        <v/>
      </c>
      <c r="L57" s="53" t="str">
        <f t="shared" si="44"/>
        <v/>
      </c>
      <c r="M57" s="53" t="str">
        <f t="shared" si="45"/>
        <v/>
      </c>
      <c r="N57" s="53" t="str">
        <f t="shared" si="46"/>
        <v/>
      </c>
      <c r="O57" s="53" t="str">
        <f t="shared" si="47"/>
        <v/>
      </c>
    </row>
    <row r="58" spans="1:17" ht="12.75" customHeight="1" x14ac:dyDescent="0.2">
      <c r="A58" s="14"/>
      <c r="B58" s="15"/>
      <c r="C58" s="13" t="str">
        <f t="shared" si="34"/>
        <v/>
      </c>
      <c r="D58" s="13" t="str">
        <f t="shared" si="35"/>
        <v/>
      </c>
      <c r="E58" s="13" t="str">
        <f t="shared" si="36"/>
        <v/>
      </c>
      <c r="F58" s="13" t="str">
        <f t="shared" si="37"/>
        <v/>
      </c>
      <c r="G58" s="13" t="str">
        <f t="shared" si="38"/>
        <v/>
      </c>
      <c r="H58" s="13" t="str">
        <f t="shared" si="39"/>
        <v/>
      </c>
      <c r="J58" s="53" t="str">
        <f t="shared" si="42"/>
        <v/>
      </c>
      <c r="K58" s="53" t="str">
        <f t="shared" si="43"/>
        <v/>
      </c>
      <c r="L58" s="53" t="str">
        <f t="shared" si="44"/>
        <v/>
      </c>
      <c r="M58" s="53" t="str">
        <f t="shared" si="45"/>
        <v/>
      </c>
      <c r="N58" s="53" t="str">
        <f t="shared" si="46"/>
        <v/>
      </c>
      <c r="O58" s="53" t="str">
        <f t="shared" si="47"/>
        <v/>
      </c>
    </row>
    <row r="59" spans="1:17" ht="12.75" customHeight="1" x14ac:dyDescent="0.2">
      <c r="A59" s="14"/>
      <c r="B59" s="15"/>
      <c r="C59" s="13" t="str">
        <f t="shared" si="34"/>
        <v/>
      </c>
      <c r="D59" s="13" t="str">
        <f t="shared" si="35"/>
        <v/>
      </c>
      <c r="E59" s="13" t="str">
        <f t="shared" si="36"/>
        <v/>
      </c>
      <c r="F59" s="13" t="str">
        <f t="shared" si="37"/>
        <v/>
      </c>
      <c r="G59" s="13" t="str">
        <f t="shared" si="38"/>
        <v/>
      </c>
      <c r="H59" s="13" t="str">
        <f t="shared" si="39"/>
        <v/>
      </c>
      <c r="J59" s="53" t="str">
        <f t="shared" si="42"/>
        <v/>
      </c>
      <c r="K59" s="53" t="str">
        <f t="shared" si="43"/>
        <v/>
      </c>
      <c r="L59" s="53" t="str">
        <f t="shared" si="44"/>
        <v/>
      </c>
      <c r="M59" s="53" t="str">
        <f t="shared" si="45"/>
        <v/>
      </c>
      <c r="N59" s="53" t="str">
        <f t="shared" si="46"/>
        <v/>
      </c>
      <c r="O59" s="53" t="str">
        <f t="shared" si="47"/>
        <v/>
      </c>
    </row>
    <row r="60" spans="1:17" ht="12.75" customHeight="1" x14ac:dyDescent="0.2">
      <c r="A60" s="14"/>
      <c r="B60" s="15"/>
      <c r="C60" s="13" t="str">
        <f t="shared" si="34"/>
        <v/>
      </c>
      <c r="D60" s="13" t="str">
        <f t="shared" si="35"/>
        <v/>
      </c>
      <c r="E60" s="13" t="str">
        <f t="shared" si="36"/>
        <v/>
      </c>
      <c r="F60" s="13" t="str">
        <f t="shared" si="37"/>
        <v/>
      </c>
      <c r="G60" s="13" t="str">
        <f t="shared" si="38"/>
        <v/>
      </c>
      <c r="H60" s="13" t="str">
        <f t="shared" si="39"/>
        <v/>
      </c>
      <c r="J60" s="53" t="str">
        <f t="shared" si="42"/>
        <v/>
      </c>
      <c r="K60" s="53" t="str">
        <f t="shared" si="43"/>
        <v/>
      </c>
      <c r="L60" s="53" t="str">
        <f t="shared" si="44"/>
        <v/>
      </c>
      <c r="M60" s="53" t="str">
        <f t="shared" si="45"/>
        <v/>
      </c>
      <c r="N60" s="53" t="str">
        <f t="shared" si="46"/>
        <v/>
      </c>
      <c r="O60" s="53" t="str">
        <f t="shared" si="47"/>
        <v/>
      </c>
    </row>
    <row r="61" spans="1:17" s="4" customFormat="1" ht="15.75" x14ac:dyDescent="0.2">
      <c r="A61" s="4" t="s">
        <v>24</v>
      </c>
      <c r="B61" s="39">
        <f ca="1">IF(COUNT(C61:H61)&gt;0,ROUND(AVERAGE(C61:H61),2),"-")</f>
        <v>0.19</v>
      </c>
      <c r="C61" s="17">
        <f t="shared" ref="C61:H61" ca="1" si="48">IF(J61&lt;&gt;0,J61/Stotal,"-")</f>
        <v>7.4045683151718361E-2</v>
      </c>
      <c r="D61" s="17">
        <f t="shared" ca="1" si="48"/>
        <v>0.11721500419111486</v>
      </c>
      <c r="E61" s="17">
        <f t="shared" ca="1" si="48"/>
        <v>0.1633855825649623</v>
      </c>
      <c r="F61" s="17">
        <f t="shared" ca="1" si="48"/>
        <v>0.21613956412405705</v>
      </c>
      <c r="G61" s="17">
        <f t="shared" ca="1" si="48"/>
        <v>0.28096311818943842</v>
      </c>
      <c r="H61" s="17">
        <f t="shared" ca="1" si="48"/>
        <v>0.31503269069572504</v>
      </c>
      <c r="I61" s="47"/>
      <c r="J61" s="58">
        <f t="shared" ref="J61:O61" ca="1" si="49">SUM(J43:J60)</f>
        <v>17.667300000000001</v>
      </c>
      <c r="K61" s="58">
        <f t="shared" ca="1" si="49"/>
        <v>27.967500000000005</v>
      </c>
      <c r="L61" s="58">
        <f t="shared" ca="1" si="49"/>
        <v>38.983800000000002</v>
      </c>
      <c r="M61" s="58">
        <f t="shared" ca="1" si="49"/>
        <v>51.570900000000009</v>
      </c>
      <c r="N61" s="58">
        <f t="shared" ca="1" si="49"/>
        <v>67.037800000000004</v>
      </c>
      <c r="O61" s="58">
        <f t="shared" ca="1" si="49"/>
        <v>75.166799999999995</v>
      </c>
      <c r="P61" s="47"/>
      <c r="Q61" s="47"/>
    </row>
    <row r="62" spans="1:17" x14ac:dyDescent="0.2">
      <c r="A62" s="19" t="s">
        <v>15</v>
      </c>
      <c r="B62" s="20">
        <f ca="1">AVERAGE(C62:H62)</f>
        <v>0.91337054022702124</v>
      </c>
      <c r="C62" s="20">
        <f t="shared" ref="C62:H62" ca="1" si="50">0.163*V/(Stotal*C61)</f>
        <v>1.8728951226276793</v>
      </c>
      <c r="D62" s="20">
        <f t="shared" ca="1" si="50"/>
        <v>1.18312326807902</v>
      </c>
      <c r="E62" s="20">
        <f t="shared" ca="1" si="50"/>
        <v>0.84878847110851163</v>
      </c>
      <c r="F62" s="20">
        <f t="shared" ca="1" si="50"/>
        <v>0.64162153462514704</v>
      </c>
      <c r="G62" s="20">
        <f t="shared" ca="1" si="50"/>
        <v>0.49358720005728107</v>
      </c>
      <c r="H62" s="20">
        <f t="shared" ca="1" si="50"/>
        <v>0.44020764486448805</v>
      </c>
      <c r="I62" s="47"/>
    </row>
    <row r="63" spans="1:17" s="4" customFormat="1" x14ac:dyDescent="0.2">
      <c r="A63" s="19" t="s">
        <v>42</v>
      </c>
      <c r="B63" s="20">
        <f ca="1">AVERAGE(C63:H63)</f>
        <v>0.22852216748768475</v>
      </c>
      <c r="C63" s="19"/>
      <c r="D63" s="20">
        <f ca="1">K61/V</f>
        <v>0.13777093596059115</v>
      </c>
      <c r="E63" s="20">
        <f ca="1">L61/V</f>
        <v>0.1920384236453202</v>
      </c>
      <c r="F63" s="20">
        <f ca="1">M61/V</f>
        <v>0.25404384236453209</v>
      </c>
      <c r="G63" s="20">
        <f ca="1">N61/V</f>
        <v>0.33023546798029557</v>
      </c>
      <c r="H63" s="22"/>
      <c r="I63" s="47"/>
      <c r="J63" s="59"/>
      <c r="K63" s="47"/>
      <c r="L63" s="47"/>
      <c r="M63" s="47"/>
      <c r="N63" s="47"/>
      <c r="O63" s="47"/>
      <c r="P63" s="47"/>
      <c r="Q63" s="47"/>
    </row>
    <row r="64" spans="1:17" s="4" customFormat="1" x14ac:dyDescent="0.2">
      <c r="A64" s="23"/>
      <c r="B64" s="24"/>
      <c r="C64" s="24"/>
      <c r="D64" s="24"/>
      <c r="E64" s="24"/>
      <c r="F64" s="24"/>
      <c r="G64" s="24"/>
      <c r="H64" s="24"/>
      <c r="I64" s="47"/>
      <c r="J64" s="59"/>
      <c r="K64" s="47"/>
      <c r="L64" s="47"/>
      <c r="M64" s="47"/>
      <c r="N64" s="47"/>
      <c r="O64" s="47"/>
      <c r="P64" s="47"/>
      <c r="Q64" s="47"/>
    </row>
    <row r="65" spans="1:17" s="4" customFormat="1" ht="15.75" x14ac:dyDescent="0.2">
      <c r="A65" s="12" t="s">
        <v>25</v>
      </c>
      <c r="B65" s="21"/>
      <c r="C65" s="17"/>
      <c r="D65" s="17"/>
      <c r="E65" s="17"/>
      <c r="F65" s="17"/>
      <c r="G65" s="17"/>
      <c r="H65" s="17"/>
      <c r="I65" s="47"/>
      <c r="J65" s="57"/>
      <c r="K65" s="57"/>
      <c r="L65" s="57"/>
      <c r="M65" s="57"/>
      <c r="N65" s="57"/>
      <c r="O65" s="57"/>
      <c r="P65" s="47"/>
      <c r="Q65" s="47"/>
    </row>
    <row r="66" spans="1:17" x14ac:dyDescent="0.2">
      <c r="A66" s="14" t="s">
        <v>75</v>
      </c>
      <c r="B66" s="15">
        <v>8</v>
      </c>
      <c r="C66" s="13">
        <f t="shared" ref="C66:C68" ca="1" si="51">IF(ISTEXT($A66),VLOOKUP($A66,Material,2,FALSE),"")</f>
        <v>0.15</v>
      </c>
      <c r="D66" s="13">
        <f t="shared" ref="D66:D68" ca="1" si="52">IF(ISTEXT($A66),VLOOKUP($A66,Material,3,FALSE),"")</f>
        <v>0.25</v>
      </c>
      <c r="E66" s="13">
        <f t="shared" ref="E66:E68" ca="1" si="53">IF(ISTEXT($A66),VLOOKUP($A66,Material,4,FALSE),"")</f>
        <v>0.55000000000000004</v>
      </c>
      <c r="F66" s="13">
        <f t="shared" ref="F66:F68" ca="1" si="54">IF(ISTEXT($A66),VLOOKUP($A66,Material,5,FALSE),"")</f>
        <v>0.8</v>
      </c>
      <c r="G66" s="13">
        <f t="shared" ref="G66:G68" ca="1" si="55">IF(ISTEXT($A66),VLOOKUP($A66,Material,6,FALSE),"")</f>
        <v>0.9</v>
      </c>
      <c r="H66" s="13">
        <f t="shared" ref="H66:H68" ca="1" si="56">IF(ISTEXT($A66),VLOOKUP($A66,Material,7,FALSE),"")</f>
        <v>0.9</v>
      </c>
      <c r="J66" s="54">
        <f ca="1">IF(ISNUMBER(C66),$B66*C66,"")</f>
        <v>1.2</v>
      </c>
      <c r="K66" s="54">
        <f t="shared" ref="K66:O68" ca="1" si="57">IF(ISNUMBER(D66),$B66*D66,"")</f>
        <v>2</v>
      </c>
      <c r="L66" s="54">
        <f t="shared" ca="1" si="57"/>
        <v>4.4000000000000004</v>
      </c>
      <c r="M66" s="54">
        <f t="shared" ca="1" si="57"/>
        <v>6.4</v>
      </c>
      <c r="N66" s="54">
        <f t="shared" ca="1" si="57"/>
        <v>7.2</v>
      </c>
      <c r="O66" s="54">
        <f t="shared" ca="1" si="57"/>
        <v>7.2</v>
      </c>
    </row>
    <row r="67" spans="1:17" x14ac:dyDescent="0.2">
      <c r="A67" s="14" t="s">
        <v>76</v>
      </c>
      <c r="B67" s="15">
        <v>8</v>
      </c>
      <c r="C67" s="13">
        <f t="shared" ca="1" si="51"/>
        <v>0.05</v>
      </c>
      <c r="D67" s="13">
        <f t="shared" ca="1" si="52"/>
        <v>0.1</v>
      </c>
      <c r="E67" s="13">
        <f t="shared" ca="1" si="53"/>
        <v>0.15</v>
      </c>
      <c r="F67" s="13">
        <f t="shared" ca="1" si="54"/>
        <v>0.35</v>
      </c>
      <c r="G67" s="13">
        <f t="shared" ca="1" si="55"/>
        <v>0.45</v>
      </c>
      <c r="H67" s="13">
        <f t="shared" ca="1" si="56"/>
        <v>0.6</v>
      </c>
      <c r="J67" s="54">
        <f ca="1">IF(ISNUMBER(C67),$B67*C67,"")</f>
        <v>0.4</v>
      </c>
      <c r="K67" s="54">
        <f t="shared" ca="1" si="57"/>
        <v>0.8</v>
      </c>
      <c r="L67" s="54">
        <f t="shared" ca="1" si="57"/>
        <v>1.2</v>
      </c>
      <c r="M67" s="54">
        <f t="shared" ca="1" si="57"/>
        <v>2.8</v>
      </c>
      <c r="N67" s="54">
        <f t="shared" ca="1" si="57"/>
        <v>3.6</v>
      </c>
      <c r="O67" s="54">
        <f t="shared" ca="1" si="57"/>
        <v>4.8</v>
      </c>
    </row>
    <row r="68" spans="1:17" x14ac:dyDescent="0.2">
      <c r="A68" s="14"/>
      <c r="B68" s="15"/>
      <c r="C68" s="13" t="str">
        <f t="shared" si="51"/>
        <v/>
      </c>
      <c r="D68" s="13" t="str">
        <f t="shared" si="52"/>
        <v/>
      </c>
      <c r="E68" s="13" t="str">
        <f t="shared" si="53"/>
        <v/>
      </c>
      <c r="F68" s="13" t="str">
        <f t="shared" si="54"/>
        <v/>
      </c>
      <c r="G68" s="13" t="str">
        <f t="shared" si="55"/>
        <v/>
      </c>
      <c r="H68" s="13" t="str">
        <f t="shared" si="56"/>
        <v/>
      </c>
      <c r="J68" s="54" t="str">
        <f t="shared" ref="J68" si="58">IF(ISNUMBER(C68),$B68*C68,"")</f>
        <v/>
      </c>
      <c r="K68" s="54" t="str">
        <f t="shared" si="57"/>
        <v/>
      </c>
      <c r="L68" s="54" t="str">
        <f t="shared" si="57"/>
        <v/>
      </c>
      <c r="M68" s="54" t="str">
        <f t="shared" si="57"/>
        <v/>
      </c>
      <c r="N68" s="54" t="str">
        <f t="shared" si="57"/>
        <v/>
      </c>
      <c r="O68" s="54" t="str">
        <f t="shared" si="57"/>
        <v/>
      </c>
    </row>
    <row r="69" spans="1:17" s="4" customFormat="1" ht="15.75" x14ac:dyDescent="0.2">
      <c r="A69" s="4" t="s">
        <v>24</v>
      </c>
      <c r="B69" s="39">
        <f ca="1">IF(COUNT(C69:H69)&gt;0,ROUND(AVERAGE(C69:H69),2),"-")</f>
        <v>0.22</v>
      </c>
      <c r="C69" s="17">
        <f t="shared" ref="C69:H69" ca="1" si="59">IF(J69&lt;&gt;0,J69/Stotal,"-")</f>
        <v>8.0751466890192788E-2</v>
      </c>
      <c r="D69" s="17">
        <f t="shared" ca="1" si="59"/>
        <v>0.12895012573344511</v>
      </c>
      <c r="E69" s="17">
        <f t="shared" ca="1" si="59"/>
        <v>0.18685582564962283</v>
      </c>
      <c r="F69" s="17">
        <f t="shared" ca="1" si="59"/>
        <v>0.25469782062028501</v>
      </c>
      <c r="G69" s="17">
        <f t="shared" ca="1" si="59"/>
        <v>0.32622715842414085</v>
      </c>
      <c r="H69" s="17">
        <f t="shared" ca="1" si="59"/>
        <v>0.3653260687342833</v>
      </c>
      <c r="I69" s="47"/>
      <c r="J69" s="58">
        <f t="shared" ref="J69:O69" ca="1" si="60">SUM(J61:J68)</f>
        <v>19.267299999999999</v>
      </c>
      <c r="K69" s="58">
        <f t="shared" ca="1" si="60"/>
        <v>30.767500000000005</v>
      </c>
      <c r="L69" s="58">
        <f t="shared" ca="1" si="60"/>
        <v>44.583800000000004</v>
      </c>
      <c r="M69" s="58">
        <f t="shared" ca="1" si="60"/>
        <v>60.770900000000005</v>
      </c>
      <c r="N69" s="58">
        <f t="shared" ca="1" si="60"/>
        <v>77.837800000000001</v>
      </c>
      <c r="O69" s="58">
        <f t="shared" ca="1" si="60"/>
        <v>87.166799999999995</v>
      </c>
      <c r="P69" s="47"/>
      <c r="Q69" s="47"/>
    </row>
    <row r="70" spans="1:17" x14ac:dyDescent="0.2">
      <c r="A70" s="19" t="s">
        <v>15</v>
      </c>
      <c r="B70" s="20">
        <f ca="1">AVERAGE(C70:H70)</f>
        <v>0.81403152524687483</v>
      </c>
      <c r="C70" s="20">
        <f t="shared" ref="C70:H70" ca="1" si="61">0.163*V/(Stotal*C69)</f>
        <v>1.7173656921312275</v>
      </c>
      <c r="D70" s="20">
        <f t="shared" ca="1" si="61"/>
        <v>1.0754529942309254</v>
      </c>
      <c r="E70" s="20">
        <f t="shared" ca="1" si="61"/>
        <v>0.74217540900506451</v>
      </c>
      <c r="F70" s="20">
        <f t="shared" ca="1" si="61"/>
        <v>0.54448757546786364</v>
      </c>
      <c r="G70" s="20">
        <f t="shared" ca="1" si="61"/>
        <v>0.42510194275788882</v>
      </c>
      <c r="H70" s="20">
        <f t="shared" ca="1" si="61"/>
        <v>0.37960553788827855</v>
      </c>
      <c r="I70" s="47"/>
    </row>
    <row r="71" spans="1:17" s="4" customFormat="1" x14ac:dyDescent="0.2">
      <c r="A71" s="19" t="s">
        <v>42</v>
      </c>
      <c r="B71" s="20">
        <f ca="1">AVERAGE(C71:H71)</f>
        <v>0.26349753694581279</v>
      </c>
      <c r="C71" s="19"/>
      <c r="D71" s="20">
        <f ca="1">K69/V</f>
        <v>0.15156403940886704</v>
      </c>
      <c r="E71" s="20">
        <f ca="1">L69/V</f>
        <v>0.21962463054187195</v>
      </c>
      <c r="F71" s="20">
        <f ca="1">M69/V</f>
        <v>0.29936403940886702</v>
      </c>
      <c r="G71" s="20">
        <f ca="1">N69/V</f>
        <v>0.3834374384236453</v>
      </c>
      <c r="H71" s="22"/>
      <c r="I71" s="47"/>
      <c r="J71" s="59"/>
      <c r="K71" s="47"/>
      <c r="L71" s="47"/>
      <c r="M71" s="47"/>
      <c r="N71" s="47"/>
      <c r="O71" s="47"/>
      <c r="P71" s="47"/>
      <c r="Q71" s="47"/>
    </row>
    <row r="72" spans="1:17" s="4" customFormat="1" x14ac:dyDescent="0.2">
      <c r="A72" s="23"/>
      <c r="B72" s="24"/>
      <c r="C72" s="24"/>
      <c r="D72" s="24"/>
      <c r="E72" s="24"/>
      <c r="F72" s="24"/>
      <c r="G72" s="24"/>
      <c r="H72" s="24"/>
      <c r="I72" s="47"/>
      <c r="J72" s="59"/>
      <c r="K72" s="47"/>
      <c r="L72" s="47"/>
      <c r="M72" s="47"/>
      <c r="N72" s="47"/>
      <c r="O72" s="47"/>
      <c r="P72" s="47"/>
      <c r="Q72" s="47"/>
    </row>
    <row r="73" spans="1:17" s="4" customFormat="1" ht="15.75" x14ac:dyDescent="0.2">
      <c r="A73" s="12" t="s">
        <v>57</v>
      </c>
      <c r="B73" s="21"/>
      <c r="C73" s="17"/>
      <c r="D73" s="17"/>
      <c r="E73" s="17"/>
      <c r="F73" s="17"/>
      <c r="G73" s="17"/>
      <c r="H73" s="17"/>
      <c r="I73" s="47"/>
      <c r="J73" s="57"/>
      <c r="K73" s="57"/>
      <c r="L73" s="57"/>
      <c r="M73" s="57"/>
      <c r="N73" s="57"/>
      <c r="O73" s="57"/>
      <c r="P73" s="47"/>
      <c r="Q73" s="47"/>
    </row>
    <row r="74" spans="1:17" x14ac:dyDescent="0.2">
      <c r="A74" s="14" t="s">
        <v>114</v>
      </c>
      <c r="B74" s="15">
        <f>1.274*0.649*8</f>
        <v>6.6146080000000005</v>
      </c>
      <c r="C74" s="13">
        <f t="shared" ref="C74:C75" ca="1" si="62">IF(ISTEXT($A74),VLOOKUP($A74,Material,2,FALSE),"")</f>
        <v>1.59</v>
      </c>
      <c r="D74" s="13">
        <f t="shared" ref="D74:D75" ca="1" si="63">IF(ISTEXT($A74),VLOOKUP($A74,Material,3,FALSE),"")</f>
        <v>1.1200000000000001</v>
      </c>
      <c r="E74" s="13">
        <f t="shared" ref="E74:E75" ca="1" si="64">IF(ISTEXT($A74),VLOOKUP($A74,Material,4,FALSE),"")</f>
        <v>0.76</v>
      </c>
      <c r="F74" s="13">
        <f t="shared" ref="F74:F75" ca="1" si="65">IF(ISTEXT($A74),VLOOKUP($A74,Material,5,FALSE),"")</f>
        <v>0.37</v>
      </c>
      <c r="G74" s="13">
        <f t="shared" ref="G74:G75" ca="1" si="66">IF(ISTEXT($A74),VLOOKUP($A74,Material,6,FALSE),"")</f>
        <v>0.18</v>
      </c>
      <c r="H74" s="13">
        <f t="shared" ref="H74:H75" ca="1" si="67">IF(ISTEXT($A74),VLOOKUP($A74,Material,7,FALSE),"")</f>
        <v>0.23</v>
      </c>
      <c r="J74" s="54">
        <f ca="1">IF(ISNUMBER(C74),$B74*C74,"")</f>
        <v>10.517226720000002</v>
      </c>
      <c r="K74" s="54">
        <f t="shared" ref="K74:O75" ca="1" si="68">IF(ISNUMBER(D74),$B74*D74,"")</f>
        <v>7.4083609600000013</v>
      </c>
      <c r="L74" s="54">
        <f t="shared" ca="1" si="68"/>
        <v>5.0271020800000006</v>
      </c>
      <c r="M74" s="54">
        <f t="shared" ca="1" si="68"/>
        <v>2.4474049600000001</v>
      </c>
      <c r="N74" s="54">
        <f t="shared" ca="1" si="68"/>
        <v>1.1906294400000001</v>
      </c>
      <c r="O74" s="54">
        <f t="shared" ca="1" si="68"/>
        <v>1.5213598400000001</v>
      </c>
    </row>
    <row r="75" spans="1:17" x14ac:dyDescent="0.2">
      <c r="A75" s="14"/>
      <c r="B75" s="15"/>
      <c r="C75" s="13" t="str">
        <f t="shared" si="62"/>
        <v/>
      </c>
      <c r="D75" s="13" t="str">
        <f t="shared" si="63"/>
        <v/>
      </c>
      <c r="E75" s="13" t="str">
        <f t="shared" si="64"/>
        <v/>
      </c>
      <c r="F75" s="13" t="str">
        <f t="shared" si="65"/>
        <v/>
      </c>
      <c r="G75" s="13" t="str">
        <f t="shared" si="66"/>
        <v/>
      </c>
      <c r="H75" s="13" t="str">
        <f t="shared" si="67"/>
        <v/>
      </c>
      <c r="J75" s="54" t="str">
        <f>IF(ISNUMBER(C75),$B75*C75,"")</f>
        <v/>
      </c>
      <c r="K75" s="54" t="str">
        <f t="shared" si="68"/>
        <v/>
      </c>
      <c r="L75" s="54" t="str">
        <f t="shared" si="68"/>
        <v/>
      </c>
      <c r="M75" s="54" t="str">
        <f t="shared" si="68"/>
        <v/>
      </c>
      <c r="N75" s="54" t="str">
        <f t="shared" si="68"/>
        <v/>
      </c>
      <c r="O75" s="54" t="str">
        <f t="shared" si="68"/>
        <v/>
      </c>
    </row>
    <row r="76" spans="1:17" s="4" customFormat="1" ht="15.75" x14ac:dyDescent="0.2">
      <c r="A76" s="4" t="s">
        <v>24</v>
      </c>
      <c r="B76" s="39">
        <f ca="1">IF(COUNT(C76:H76)&gt;0,ROUND(AVERAGE(C76:H76),2),"-")</f>
        <v>0.24</v>
      </c>
      <c r="C76" s="17">
        <f t="shared" ref="C76:H76" ca="1" si="69">IF(J76&lt;&gt;0,J76/Stotal,"-")</f>
        <v>0.12483037183570832</v>
      </c>
      <c r="D76" s="17">
        <f t="shared" ca="1" si="69"/>
        <v>0.15999941726739317</v>
      </c>
      <c r="E76" s="17">
        <f t="shared" ca="1" si="69"/>
        <v>0.20792498776194468</v>
      </c>
      <c r="F76" s="17">
        <f t="shared" ca="1" si="69"/>
        <v>0.26495517585917855</v>
      </c>
      <c r="G76" s="17">
        <f t="shared" ca="1" si="69"/>
        <v>0.33121722313495389</v>
      </c>
      <c r="H76" s="17">
        <f t="shared" ca="1" si="69"/>
        <v>0.37170226253143335</v>
      </c>
      <c r="I76" s="47"/>
      <c r="J76" s="58">
        <f t="shared" ref="J76:O76" ca="1" si="70">SUM(J69:J75)</f>
        <v>29.784526720000002</v>
      </c>
      <c r="K76" s="58">
        <f t="shared" ca="1" si="70"/>
        <v>38.175860960000009</v>
      </c>
      <c r="L76" s="58">
        <f t="shared" ca="1" si="70"/>
        <v>49.610902080000002</v>
      </c>
      <c r="M76" s="58">
        <f t="shared" ca="1" si="70"/>
        <v>63.218304960000005</v>
      </c>
      <c r="N76" s="58">
        <f t="shared" ca="1" si="70"/>
        <v>79.028429439999996</v>
      </c>
      <c r="O76" s="58">
        <f t="shared" ca="1" si="70"/>
        <v>88.688159839999997</v>
      </c>
      <c r="P76" s="47"/>
      <c r="Q76" s="47"/>
    </row>
    <row r="77" spans="1:17" x14ac:dyDescent="0.2">
      <c r="A77" s="19" t="s">
        <v>15</v>
      </c>
      <c r="B77" s="20">
        <f ca="1">AVERAGE(C77:H77)</f>
        <v>0.65997798889570258</v>
      </c>
      <c r="C77" s="20">
        <f t="shared" ref="C77:H77" ca="1" si="71">0.163*V/(Stotal*C76)</f>
        <v>1.1109459724193327</v>
      </c>
      <c r="D77" s="20">
        <f t="shared" ca="1" si="71"/>
        <v>0.86675189944426057</v>
      </c>
      <c r="E77" s="20">
        <f t="shared" ca="1" si="71"/>
        <v>0.66697033540414907</v>
      </c>
      <c r="F77" s="20">
        <f t="shared" ca="1" si="71"/>
        <v>0.52340852892111456</v>
      </c>
      <c r="G77" s="20">
        <f t="shared" ca="1" si="71"/>
        <v>0.41869742616006111</v>
      </c>
      <c r="H77" s="20">
        <f t="shared" ca="1" si="71"/>
        <v>0.37309377102529812</v>
      </c>
      <c r="I77" s="47"/>
    </row>
    <row r="78" spans="1:17" s="4" customFormat="1" x14ac:dyDescent="0.2">
      <c r="A78" s="19" t="s">
        <v>42</v>
      </c>
      <c r="B78" s="20">
        <f ca="1">AVERAGE(C78:H78)</f>
        <v>0.28329248453201972</v>
      </c>
      <c r="C78" s="19"/>
      <c r="D78" s="20">
        <f ca="1">K76/V</f>
        <v>0.18805842837438427</v>
      </c>
      <c r="E78" s="20">
        <f ca="1">L76/V</f>
        <v>0.24438868019704435</v>
      </c>
      <c r="F78" s="20">
        <f ca="1">M76/V</f>
        <v>0.31142022147783255</v>
      </c>
      <c r="G78" s="20">
        <f ca="1">N76/V</f>
        <v>0.38930260807881772</v>
      </c>
      <c r="H78" s="22"/>
      <c r="I78" s="47"/>
      <c r="J78" s="59"/>
      <c r="K78" s="47"/>
      <c r="L78" s="47"/>
      <c r="M78" s="47"/>
      <c r="N78" s="47"/>
      <c r="O78" s="47"/>
      <c r="P78" s="47"/>
      <c r="Q78" s="47"/>
    </row>
    <row r="79" spans="1:17" s="4" customFormat="1" x14ac:dyDescent="0.2">
      <c r="A79" s="23"/>
      <c r="B79" s="24"/>
      <c r="C79" s="24"/>
      <c r="D79" s="24"/>
      <c r="E79" s="24"/>
      <c r="F79" s="24"/>
      <c r="G79" s="24"/>
      <c r="H79" s="24"/>
      <c r="I79" s="47"/>
      <c r="J79" s="59"/>
      <c r="K79" s="47"/>
      <c r="L79" s="47"/>
      <c r="M79" s="47"/>
      <c r="N79" s="47"/>
      <c r="O79" s="47"/>
      <c r="P79" s="47"/>
      <c r="Q79" s="47"/>
    </row>
    <row r="80" spans="1:17" s="4" customFormat="1" x14ac:dyDescent="0.2">
      <c r="A80" s="23"/>
      <c r="B80" s="24"/>
      <c r="C80" s="24"/>
      <c r="D80" s="24"/>
      <c r="E80" s="24"/>
      <c r="F80" s="24"/>
      <c r="G80" s="24"/>
      <c r="H80" s="24"/>
      <c r="I80" s="47"/>
      <c r="J80" s="59"/>
      <c r="K80" s="47"/>
      <c r="L80" s="47"/>
      <c r="M80" s="47"/>
      <c r="N80" s="47"/>
      <c r="O80" s="47"/>
      <c r="P80" s="47"/>
      <c r="Q80" s="47"/>
    </row>
    <row r="81" spans="1:17" s="4" customFormat="1" x14ac:dyDescent="0.2">
      <c r="A81" s="23"/>
      <c r="B81" s="24"/>
      <c r="C81" s="24"/>
      <c r="D81" s="24"/>
      <c r="E81" s="24"/>
      <c r="F81" s="24"/>
      <c r="G81" s="24"/>
      <c r="H81" s="24"/>
      <c r="I81" s="47"/>
      <c r="J81" s="59"/>
      <c r="K81" s="47"/>
      <c r="L81" s="47"/>
      <c r="M81" s="47"/>
      <c r="N81" s="47"/>
      <c r="O81" s="47"/>
      <c r="P81" s="47"/>
      <c r="Q81" s="47"/>
    </row>
    <row r="82" spans="1:17" s="4" customFormat="1" x14ac:dyDescent="0.2">
      <c r="A82" s="23"/>
      <c r="B82" s="24"/>
      <c r="C82" s="24"/>
      <c r="D82" s="24"/>
      <c r="E82" s="24"/>
      <c r="F82" s="24"/>
      <c r="G82" s="24"/>
      <c r="H82" s="24"/>
      <c r="I82" s="47"/>
      <c r="J82" s="59"/>
      <c r="K82" s="47"/>
      <c r="L82" s="47"/>
      <c r="M82" s="47"/>
      <c r="N82" s="47"/>
      <c r="O82" s="47"/>
      <c r="P82" s="47"/>
      <c r="Q82" s="47"/>
    </row>
    <row r="83" spans="1:17" s="4" customFormat="1" x14ac:dyDescent="0.2">
      <c r="A83" s="23"/>
      <c r="B83" s="24"/>
      <c r="C83" s="24"/>
      <c r="D83" s="24"/>
      <c r="E83" s="24"/>
      <c r="F83" s="24"/>
      <c r="G83" s="24"/>
      <c r="H83" s="24"/>
      <c r="I83" s="47"/>
      <c r="J83" s="59"/>
      <c r="K83" s="47"/>
      <c r="L83" s="47"/>
      <c r="M83" s="47"/>
      <c r="N83" s="47"/>
      <c r="O83" s="47"/>
      <c r="P83" s="47"/>
      <c r="Q83" s="47"/>
    </row>
    <row r="84" spans="1:17" s="4" customFormat="1" x14ac:dyDescent="0.2">
      <c r="A84" s="23"/>
      <c r="B84" s="24"/>
      <c r="C84" s="24"/>
      <c r="D84" s="24"/>
      <c r="E84" s="24"/>
      <c r="F84" s="24"/>
      <c r="G84" s="24"/>
      <c r="H84" s="24"/>
      <c r="I84" s="47"/>
      <c r="J84" s="59"/>
      <c r="K84" s="47"/>
      <c r="L84" s="47"/>
      <c r="M84" s="47"/>
      <c r="N84" s="47"/>
      <c r="O84" s="47"/>
      <c r="P84" s="47"/>
      <c r="Q84" s="47"/>
    </row>
    <row r="85" spans="1:17" s="4" customFormat="1" x14ac:dyDescent="0.2">
      <c r="A85" s="23"/>
      <c r="B85" s="24"/>
      <c r="C85" s="24"/>
      <c r="D85" s="24"/>
      <c r="E85" s="24"/>
      <c r="F85" s="24"/>
      <c r="G85" s="24"/>
      <c r="H85" s="24"/>
      <c r="I85" s="47"/>
      <c r="J85" s="59"/>
      <c r="K85" s="47"/>
      <c r="L85" s="47"/>
      <c r="M85" s="47"/>
      <c r="N85" s="47"/>
      <c r="O85" s="47"/>
      <c r="P85" s="47"/>
      <c r="Q85" s="47"/>
    </row>
    <row r="86" spans="1:17" s="4" customFormat="1" x14ac:dyDescent="0.2">
      <c r="A86" s="23"/>
      <c r="B86" s="24"/>
      <c r="C86" s="24"/>
      <c r="D86" s="24"/>
      <c r="E86" s="24"/>
      <c r="F86" s="24"/>
      <c r="G86" s="24"/>
      <c r="H86" s="24"/>
      <c r="I86" s="47"/>
      <c r="J86" s="59"/>
      <c r="K86" s="47"/>
      <c r="L86" s="47"/>
      <c r="M86" s="47"/>
      <c r="N86" s="47"/>
      <c r="O86" s="47"/>
      <c r="P86" s="47"/>
      <c r="Q86" s="47"/>
    </row>
    <row r="87" spans="1:17" s="4" customFormat="1" x14ac:dyDescent="0.2">
      <c r="A87" s="23"/>
      <c r="B87" s="24"/>
      <c r="C87" s="24"/>
      <c r="D87" s="24"/>
      <c r="E87" s="24"/>
      <c r="F87" s="24"/>
      <c r="G87" s="24"/>
      <c r="H87" s="24"/>
      <c r="I87" s="47"/>
      <c r="J87" s="59"/>
      <c r="K87" s="47"/>
      <c r="L87" s="47"/>
      <c r="M87" s="47"/>
      <c r="N87" s="47"/>
      <c r="O87" s="47"/>
      <c r="P87" s="47"/>
      <c r="Q87" s="47"/>
    </row>
    <row r="88" spans="1:17" s="4" customFormat="1" x14ac:dyDescent="0.2">
      <c r="A88" s="23"/>
      <c r="B88" s="24"/>
      <c r="C88" s="24"/>
      <c r="D88" s="24"/>
      <c r="E88" s="24"/>
      <c r="F88" s="24"/>
      <c r="G88" s="24"/>
      <c r="H88" s="24"/>
      <c r="I88" s="47"/>
      <c r="J88" s="59"/>
      <c r="K88" s="47"/>
      <c r="L88" s="47"/>
      <c r="M88" s="47"/>
      <c r="N88" s="47"/>
      <c r="O88" s="47"/>
      <c r="P88" s="47"/>
      <c r="Q88" s="47"/>
    </row>
    <row r="89" spans="1:17" s="4" customFormat="1" x14ac:dyDescent="0.2">
      <c r="A89" s="23"/>
      <c r="B89" s="24"/>
      <c r="C89" s="24"/>
      <c r="D89" s="24"/>
      <c r="E89" s="24"/>
      <c r="F89" s="24"/>
      <c r="G89" s="24"/>
      <c r="H89" s="24"/>
      <c r="I89" s="47"/>
      <c r="J89" s="59"/>
      <c r="K89" s="47"/>
      <c r="L89" s="47"/>
      <c r="M89" s="47"/>
      <c r="N89" s="47"/>
      <c r="O89" s="47"/>
      <c r="P89" s="47"/>
      <c r="Q89" s="47"/>
    </row>
    <row r="90" spans="1:17" s="4" customFormat="1" x14ac:dyDescent="0.2">
      <c r="A90" s="23"/>
      <c r="B90" s="24"/>
      <c r="C90" s="24"/>
      <c r="D90" s="24"/>
      <c r="E90" s="24"/>
      <c r="F90" s="24"/>
      <c r="G90" s="24"/>
      <c r="H90" s="24"/>
      <c r="I90" s="47"/>
      <c r="J90" s="59"/>
      <c r="K90" s="47"/>
      <c r="L90" s="47"/>
      <c r="M90" s="47"/>
      <c r="N90" s="47"/>
      <c r="O90" s="47"/>
      <c r="P90" s="47"/>
      <c r="Q90" s="47"/>
    </row>
    <row r="91" spans="1:17" s="4" customFormat="1" x14ac:dyDescent="0.2">
      <c r="A91" s="23"/>
      <c r="B91" s="24"/>
      <c r="C91" s="24"/>
      <c r="D91" s="24"/>
      <c r="E91" s="24"/>
      <c r="F91" s="24"/>
      <c r="G91" s="24"/>
      <c r="H91" s="24"/>
      <c r="I91" s="47"/>
      <c r="J91" s="59"/>
      <c r="K91" s="47"/>
      <c r="L91" s="47"/>
      <c r="M91" s="47"/>
      <c r="N91" s="47"/>
      <c r="O91" s="47"/>
      <c r="P91" s="47"/>
      <c r="Q91" s="47"/>
    </row>
    <row r="92" spans="1:17" s="4" customFormat="1" x14ac:dyDescent="0.2">
      <c r="A92" s="23"/>
      <c r="B92" s="24"/>
      <c r="C92" s="24"/>
      <c r="D92" s="24"/>
      <c r="E92" s="24"/>
      <c r="F92" s="24"/>
      <c r="G92" s="24"/>
      <c r="H92" s="24"/>
      <c r="I92" s="47"/>
      <c r="J92" s="59"/>
      <c r="K92" s="47"/>
      <c r="L92" s="47"/>
      <c r="M92" s="47"/>
      <c r="N92" s="47"/>
      <c r="O92" s="47"/>
      <c r="P92" s="47"/>
      <c r="Q92" s="47"/>
    </row>
    <row r="93" spans="1:17" s="4" customFormat="1" x14ac:dyDescent="0.2">
      <c r="A93" s="23"/>
      <c r="B93" s="24"/>
      <c r="C93" s="24"/>
      <c r="D93" s="24"/>
      <c r="E93" s="24"/>
      <c r="F93" s="24"/>
      <c r="G93" s="24"/>
      <c r="H93" s="24"/>
      <c r="I93" s="47"/>
      <c r="J93" s="59"/>
      <c r="K93" s="47"/>
      <c r="L93" s="47"/>
      <c r="M93" s="47"/>
      <c r="N93" s="47"/>
      <c r="O93" s="47"/>
      <c r="P93" s="47"/>
      <c r="Q93" s="47"/>
    </row>
    <row r="94" spans="1:17" s="4" customFormat="1" x14ac:dyDescent="0.2">
      <c r="A94" s="23"/>
      <c r="B94" s="24"/>
      <c r="C94" s="24"/>
      <c r="D94" s="24"/>
      <c r="E94" s="24"/>
      <c r="F94" s="24"/>
      <c r="G94" s="24"/>
      <c r="H94" s="24"/>
      <c r="I94" s="47"/>
      <c r="J94" s="59"/>
      <c r="K94" s="47"/>
      <c r="L94" s="47"/>
      <c r="M94" s="47"/>
      <c r="N94" s="47"/>
      <c r="O94" s="47"/>
      <c r="P94" s="47"/>
      <c r="Q94" s="47"/>
    </row>
    <row r="95" spans="1:17" s="4" customFormat="1" x14ac:dyDescent="0.2">
      <c r="A95" s="23"/>
      <c r="B95" s="24"/>
      <c r="C95" s="24"/>
      <c r="D95" s="24"/>
      <c r="E95" s="24"/>
      <c r="F95" s="24"/>
      <c r="G95" s="24"/>
      <c r="H95" s="24"/>
      <c r="I95" s="47"/>
      <c r="J95" s="59"/>
      <c r="K95" s="47"/>
      <c r="L95" s="47"/>
      <c r="M95" s="47"/>
      <c r="N95" s="47"/>
      <c r="O95" s="47"/>
      <c r="P95" s="47"/>
      <c r="Q95" s="47"/>
    </row>
    <row r="96" spans="1:17" s="4" customFormat="1" x14ac:dyDescent="0.2">
      <c r="A96" s="23"/>
      <c r="B96" s="24"/>
      <c r="C96" s="24"/>
      <c r="D96" s="24"/>
      <c r="E96" s="24"/>
      <c r="F96" s="24"/>
      <c r="G96" s="24"/>
      <c r="H96" s="24"/>
      <c r="I96" s="47"/>
      <c r="J96" s="59"/>
      <c r="K96" s="47"/>
      <c r="L96" s="47"/>
      <c r="M96" s="47"/>
      <c r="N96" s="47"/>
      <c r="O96" s="47"/>
      <c r="P96" s="47"/>
      <c r="Q96" s="47"/>
    </row>
    <row r="97" spans="1:17" s="4" customFormat="1" x14ac:dyDescent="0.2">
      <c r="A97" s="23"/>
      <c r="B97" s="24"/>
      <c r="C97" s="24"/>
      <c r="D97" s="24"/>
      <c r="E97" s="24"/>
      <c r="F97" s="24"/>
      <c r="G97" s="24"/>
      <c r="H97" s="24"/>
      <c r="I97" s="47"/>
      <c r="J97" s="59"/>
      <c r="K97" s="47"/>
      <c r="L97" s="47"/>
      <c r="M97" s="47"/>
      <c r="N97" s="47"/>
      <c r="O97" s="47"/>
      <c r="P97" s="47"/>
      <c r="Q97" s="47"/>
    </row>
    <row r="98" spans="1:17" s="4" customFormat="1" x14ac:dyDescent="0.2">
      <c r="A98" s="23"/>
      <c r="B98" s="24"/>
      <c r="C98" s="24"/>
      <c r="D98" s="24"/>
      <c r="E98" s="24"/>
      <c r="F98" s="24"/>
      <c r="G98" s="24"/>
      <c r="H98" s="24"/>
      <c r="I98" s="47"/>
      <c r="J98" s="59"/>
      <c r="K98" s="47"/>
      <c r="L98" s="47"/>
      <c r="M98" s="47"/>
      <c r="N98" s="47"/>
      <c r="O98" s="47"/>
      <c r="P98" s="47"/>
      <c r="Q98" s="47"/>
    </row>
    <row r="99" spans="1:17" s="4" customFormat="1" x14ac:dyDescent="0.2">
      <c r="A99" s="23"/>
      <c r="B99" s="24"/>
      <c r="C99" s="24"/>
      <c r="D99" s="24"/>
      <c r="E99" s="24"/>
      <c r="F99" s="24"/>
      <c r="G99" s="24"/>
      <c r="H99" s="24"/>
      <c r="I99" s="47"/>
      <c r="J99" s="59"/>
      <c r="K99" s="47"/>
      <c r="L99" s="47"/>
      <c r="M99" s="47"/>
      <c r="N99" s="47"/>
      <c r="O99" s="47"/>
      <c r="P99" s="47"/>
      <c r="Q99" s="47"/>
    </row>
    <row r="100" spans="1:17" s="4" customFormat="1" x14ac:dyDescent="0.2">
      <c r="A100" s="23"/>
      <c r="B100" s="24"/>
      <c r="C100" s="24"/>
      <c r="D100" s="24"/>
      <c r="E100" s="24"/>
      <c r="F100" s="24"/>
      <c r="G100" s="24"/>
      <c r="H100" s="24"/>
      <c r="I100" s="47"/>
      <c r="J100" s="59"/>
      <c r="K100" s="47"/>
      <c r="L100" s="47"/>
      <c r="M100" s="47"/>
      <c r="N100" s="47"/>
      <c r="O100" s="47"/>
      <c r="P100" s="47"/>
      <c r="Q100" s="47"/>
    </row>
    <row r="101" spans="1:17" s="4" customFormat="1" x14ac:dyDescent="0.2">
      <c r="A101" s="23"/>
      <c r="B101" s="24"/>
      <c r="C101" s="24"/>
      <c r="D101" s="24"/>
      <c r="E101" s="24"/>
      <c r="F101" s="24"/>
      <c r="G101" s="24"/>
      <c r="H101" s="24"/>
      <c r="I101" s="47"/>
      <c r="J101" s="59"/>
      <c r="K101" s="47"/>
      <c r="L101" s="47"/>
      <c r="M101" s="47"/>
      <c r="N101" s="47"/>
      <c r="O101" s="47"/>
      <c r="P101" s="47"/>
      <c r="Q101" s="47"/>
    </row>
    <row r="102" spans="1:17" s="4" customFormat="1" x14ac:dyDescent="0.2">
      <c r="A102" s="23"/>
      <c r="B102" s="24"/>
      <c r="C102" s="24"/>
      <c r="D102" s="24"/>
      <c r="E102" s="24"/>
      <c r="F102" s="24"/>
      <c r="G102" s="24"/>
      <c r="H102" s="24"/>
      <c r="I102" s="47"/>
      <c r="J102" s="59"/>
      <c r="K102" s="47"/>
      <c r="L102" s="47"/>
      <c r="M102" s="47"/>
      <c r="N102" s="47"/>
      <c r="O102" s="47"/>
      <c r="P102" s="47"/>
      <c r="Q102" s="47"/>
    </row>
    <row r="103" spans="1:17" s="4" customFormat="1" x14ac:dyDescent="0.2">
      <c r="A103" s="23"/>
      <c r="B103" s="24"/>
      <c r="C103" s="24"/>
      <c r="D103" s="24"/>
      <c r="E103" s="24"/>
      <c r="F103" s="24"/>
      <c r="G103" s="24"/>
      <c r="H103" s="24"/>
      <c r="I103" s="47"/>
      <c r="J103" s="59"/>
      <c r="K103" s="47"/>
      <c r="L103" s="47"/>
      <c r="M103" s="47"/>
      <c r="N103" s="47"/>
      <c r="O103" s="47"/>
      <c r="P103" s="47"/>
      <c r="Q103" s="47"/>
    </row>
    <row r="104" spans="1:17" s="4" customFormat="1" x14ac:dyDescent="0.2">
      <c r="A104" s="23"/>
      <c r="B104" s="24"/>
      <c r="C104" s="24"/>
      <c r="D104" s="24"/>
      <c r="E104" s="24"/>
      <c r="F104" s="24"/>
      <c r="G104" s="24"/>
      <c r="H104" s="24"/>
      <c r="I104" s="47"/>
      <c r="J104" s="59"/>
      <c r="K104" s="47"/>
      <c r="L104" s="47"/>
      <c r="M104" s="47"/>
      <c r="N104" s="47"/>
      <c r="O104" s="47"/>
      <c r="P104" s="47"/>
      <c r="Q104" s="47"/>
    </row>
    <row r="105" spans="1:17" s="4" customFormat="1" x14ac:dyDescent="0.2">
      <c r="A105" s="23"/>
      <c r="B105" s="24"/>
      <c r="C105" s="24"/>
      <c r="D105" s="24"/>
      <c r="E105" s="24"/>
      <c r="F105" s="24"/>
      <c r="G105" s="24"/>
      <c r="H105" s="24"/>
      <c r="I105" s="47"/>
      <c r="J105" s="59"/>
      <c r="K105" s="47"/>
      <c r="L105" s="47"/>
      <c r="M105" s="47"/>
      <c r="N105" s="47"/>
      <c r="O105" s="47"/>
      <c r="P105" s="47"/>
      <c r="Q105" s="47"/>
    </row>
    <row r="106" spans="1:17" s="4" customFormat="1" x14ac:dyDescent="0.2">
      <c r="A106" s="23"/>
      <c r="B106" s="24"/>
      <c r="C106" s="24"/>
      <c r="D106" s="24"/>
      <c r="E106" s="24"/>
      <c r="F106" s="24"/>
      <c r="G106" s="24"/>
      <c r="H106" s="24"/>
      <c r="I106" s="47"/>
      <c r="J106" s="59"/>
      <c r="K106" s="47"/>
      <c r="L106" s="47"/>
      <c r="M106" s="47"/>
      <c r="N106" s="47"/>
      <c r="O106" s="47"/>
      <c r="P106" s="47"/>
      <c r="Q106" s="47"/>
    </row>
    <row r="107" spans="1:17" s="4" customFormat="1" x14ac:dyDescent="0.2">
      <c r="A107" s="23"/>
      <c r="B107" s="24"/>
      <c r="C107" s="24"/>
      <c r="D107" s="24"/>
      <c r="E107" s="24"/>
      <c r="F107" s="24"/>
      <c r="G107" s="24"/>
      <c r="H107" s="24"/>
      <c r="I107" s="47"/>
      <c r="J107" s="59"/>
      <c r="K107" s="47"/>
      <c r="L107" s="47"/>
      <c r="M107" s="47"/>
      <c r="N107" s="47"/>
      <c r="O107" s="47"/>
      <c r="P107" s="47"/>
      <c r="Q107" s="47"/>
    </row>
    <row r="108" spans="1:17" s="4" customFormat="1" x14ac:dyDescent="0.2">
      <c r="A108" s="23"/>
      <c r="B108" s="24"/>
      <c r="C108" s="24"/>
      <c r="D108" s="24"/>
      <c r="E108" s="24"/>
      <c r="F108" s="24"/>
      <c r="G108" s="24"/>
      <c r="H108" s="24"/>
      <c r="I108" s="47"/>
      <c r="J108" s="59"/>
      <c r="K108" s="47"/>
      <c r="L108" s="47"/>
      <c r="M108" s="47"/>
      <c r="N108" s="47"/>
      <c r="O108" s="47"/>
      <c r="P108" s="47"/>
      <c r="Q108" s="47"/>
    </row>
    <row r="109" spans="1:17" s="4" customFormat="1" x14ac:dyDescent="0.2">
      <c r="A109" s="23"/>
      <c r="B109" s="24"/>
      <c r="C109" s="24"/>
      <c r="D109" s="24"/>
      <c r="E109" s="24"/>
      <c r="F109" s="24"/>
      <c r="G109" s="24"/>
      <c r="H109" s="24"/>
      <c r="I109" s="47"/>
      <c r="J109" s="59"/>
      <c r="K109" s="47"/>
      <c r="L109" s="47"/>
      <c r="M109" s="47"/>
      <c r="N109" s="47"/>
      <c r="O109" s="47"/>
      <c r="P109" s="47"/>
      <c r="Q109" s="47"/>
    </row>
    <row r="110" spans="1:17" s="4" customFormat="1" x14ac:dyDescent="0.2">
      <c r="A110" s="23"/>
      <c r="B110" s="24"/>
      <c r="C110" s="24"/>
      <c r="D110" s="24"/>
      <c r="E110" s="24"/>
      <c r="F110" s="24"/>
      <c r="G110" s="24"/>
      <c r="H110" s="24"/>
      <c r="I110" s="47"/>
      <c r="J110" s="59"/>
      <c r="K110" s="47"/>
      <c r="L110" s="47"/>
      <c r="M110" s="47"/>
      <c r="N110" s="47"/>
      <c r="O110" s="47"/>
      <c r="P110" s="47"/>
      <c r="Q110" s="47"/>
    </row>
    <row r="111" spans="1:17" s="4" customFormat="1" x14ac:dyDescent="0.2">
      <c r="A111" s="23"/>
      <c r="B111" s="24"/>
      <c r="C111" s="24"/>
      <c r="D111" s="24"/>
      <c r="E111" s="24"/>
      <c r="F111" s="24"/>
      <c r="G111" s="24"/>
      <c r="H111" s="24"/>
      <c r="I111" s="47"/>
      <c r="J111" s="59"/>
      <c r="K111" s="47"/>
      <c r="L111" s="47"/>
      <c r="M111" s="47"/>
      <c r="N111" s="47"/>
      <c r="O111" s="47"/>
      <c r="P111" s="47"/>
      <c r="Q111" s="47"/>
    </row>
    <row r="112" spans="1:17" s="4" customFormat="1" x14ac:dyDescent="0.2">
      <c r="A112" s="23"/>
      <c r="B112" s="24"/>
      <c r="C112" s="24"/>
      <c r="D112" s="24"/>
      <c r="E112" s="24"/>
      <c r="F112" s="24"/>
      <c r="G112" s="24"/>
      <c r="H112" s="24"/>
      <c r="I112" s="47"/>
      <c r="J112" s="59"/>
      <c r="K112" s="47"/>
      <c r="L112" s="47"/>
      <c r="M112" s="47"/>
      <c r="N112" s="47"/>
      <c r="O112" s="47"/>
      <c r="P112" s="47"/>
      <c r="Q112" s="47"/>
    </row>
    <row r="113" spans="1:17" s="4" customFormat="1" x14ac:dyDescent="0.2">
      <c r="A113" s="23"/>
      <c r="B113" s="24"/>
      <c r="C113" s="24"/>
      <c r="D113" s="24"/>
      <c r="E113" s="24"/>
      <c r="F113" s="24"/>
      <c r="G113" s="24"/>
      <c r="H113" s="24"/>
      <c r="I113" s="47"/>
      <c r="J113" s="59"/>
      <c r="K113" s="47"/>
      <c r="L113" s="47"/>
      <c r="M113" s="47"/>
      <c r="N113" s="47"/>
      <c r="O113" s="47"/>
      <c r="P113" s="47"/>
      <c r="Q113" s="47"/>
    </row>
    <row r="114" spans="1:17" s="4" customFormat="1" x14ac:dyDescent="0.2">
      <c r="A114" s="23"/>
      <c r="B114" s="24"/>
      <c r="C114" s="24"/>
      <c r="D114" s="24"/>
      <c r="E114" s="24"/>
      <c r="F114" s="24"/>
      <c r="G114" s="24"/>
      <c r="H114" s="24"/>
      <c r="I114" s="47"/>
      <c r="J114" s="59"/>
      <c r="K114" s="47"/>
      <c r="L114" s="47"/>
      <c r="M114" s="47"/>
      <c r="N114" s="47"/>
      <c r="O114" s="47"/>
      <c r="P114" s="47"/>
      <c r="Q114" s="47"/>
    </row>
    <row r="115" spans="1:17" s="4" customFormat="1" x14ac:dyDescent="0.2">
      <c r="A115" s="23"/>
      <c r="B115" s="24"/>
      <c r="C115" s="24"/>
      <c r="D115" s="24"/>
      <c r="E115" s="24"/>
      <c r="F115" s="24"/>
      <c r="G115" s="24"/>
      <c r="H115" s="24"/>
      <c r="I115" s="47"/>
      <c r="J115" s="59"/>
      <c r="K115" s="47"/>
      <c r="L115" s="47"/>
      <c r="M115" s="47"/>
      <c r="N115" s="47"/>
      <c r="O115" s="47"/>
      <c r="P115" s="47"/>
      <c r="Q115" s="47"/>
    </row>
    <row r="116" spans="1:17" s="4" customFormat="1" x14ac:dyDescent="0.2">
      <c r="A116" s="23"/>
      <c r="B116" s="24"/>
      <c r="C116" s="24"/>
      <c r="D116" s="24"/>
      <c r="E116" s="24"/>
      <c r="F116" s="24"/>
      <c r="G116" s="24"/>
      <c r="H116" s="24"/>
      <c r="I116" s="47"/>
      <c r="J116" s="59"/>
      <c r="K116" s="47"/>
      <c r="L116" s="47"/>
      <c r="M116" s="47"/>
      <c r="N116" s="47"/>
      <c r="O116" s="47"/>
      <c r="P116" s="47"/>
      <c r="Q116" s="47"/>
    </row>
    <row r="117" spans="1:17" s="4" customFormat="1" x14ac:dyDescent="0.2">
      <c r="A117" s="23"/>
      <c r="B117" s="24"/>
      <c r="C117" s="24"/>
      <c r="D117" s="24"/>
      <c r="E117" s="24"/>
      <c r="F117" s="24"/>
      <c r="G117" s="24"/>
      <c r="H117" s="24"/>
      <c r="I117" s="47"/>
      <c r="J117" s="59"/>
      <c r="K117" s="47"/>
      <c r="L117" s="47"/>
      <c r="M117" s="47"/>
      <c r="N117" s="47"/>
      <c r="O117" s="47"/>
      <c r="P117" s="47"/>
      <c r="Q117" s="47"/>
    </row>
    <row r="118" spans="1:17" s="4" customFormat="1" x14ac:dyDescent="0.2">
      <c r="A118" s="23"/>
      <c r="B118" s="24"/>
      <c r="C118" s="24"/>
      <c r="D118" s="24"/>
      <c r="E118" s="24"/>
      <c r="F118" s="24"/>
      <c r="G118" s="24"/>
      <c r="H118" s="24"/>
      <c r="I118" s="47"/>
      <c r="J118" s="59"/>
      <c r="K118" s="47"/>
      <c r="L118" s="47"/>
      <c r="M118" s="47"/>
      <c r="N118" s="47"/>
      <c r="O118" s="47"/>
      <c r="P118" s="47"/>
      <c r="Q118" s="47"/>
    </row>
    <row r="119" spans="1:17" s="4" customFormat="1" x14ac:dyDescent="0.2">
      <c r="A119" s="23"/>
      <c r="B119" s="24"/>
      <c r="C119" s="24"/>
      <c r="D119" s="24"/>
      <c r="E119" s="24"/>
      <c r="F119" s="24"/>
      <c r="G119" s="24"/>
      <c r="H119" s="24"/>
      <c r="I119" s="47"/>
      <c r="J119" s="59"/>
      <c r="K119" s="47"/>
      <c r="L119" s="47"/>
      <c r="M119" s="47"/>
      <c r="N119" s="47"/>
      <c r="O119" s="47"/>
      <c r="P119" s="47"/>
      <c r="Q119" s="47"/>
    </row>
    <row r="120" spans="1:17" s="4" customFormat="1" x14ac:dyDescent="0.2">
      <c r="A120" s="23"/>
      <c r="B120" s="24"/>
      <c r="C120" s="24"/>
      <c r="D120" s="24"/>
      <c r="E120" s="24"/>
      <c r="F120" s="24"/>
      <c r="G120" s="24"/>
      <c r="H120" s="24"/>
      <c r="I120" s="47"/>
      <c r="J120" s="59"/>
      <c r="K120" s="47"/>
      <c r="L120" s="47"/>
      <c r="M120" s="47"/>
      <c r="N120" s="47"/>
      <c r="O120" s="47"/>
      <c r="P120" s="47"/>
      <c r="Q120" s="47"/>
    </row>
    <row r="121" spans="1:17" s="4" customFormat="1" x14ac:dyDescent="0.2">
      <c r="A121" s="23"/>
      <c r="B121" s="24"/>
      <c r="C121" s="24"/>
      <c r="D121" s="24"/>
      <c r="E121" s="24"/>
      <c r="F121" s="24"/>
      <c r="G121" s="24"/>
      <c r="H121" s="24"/>
      <c r="I121" s="47"/>
      <c r="J121" s="59"/>
      <c r="K121" s="47"/>
      <c r="L121" s="47"/>
      <c r="M121" s="47"/>
      <c r="N121" s="47"/>
      <c r="O121" s="47"/>
      <c r="P121" s="47"/>
      <c r="Q121" s="47"/>
    </row>
    <row r="122" spans="1:17" s="4" customFormat="1" x14ac:dyDescent="0.2">
      <c r="A122" s="23"/>
      <c r="B122" s="24"/>
      <c r="C122" s="24"/>
      <c r="D122" s="24"/>
      <c r="E122" s="24"/>
      <c r="F122" s="24"/>
      <c r="G122" s="24"/>
      <c r="H122" s="24"/>
      <c r="I122" s="47"/>
      <c r="J122" s="59"/>
      <c r="K122" s="47"/>
      <c r="L122" s="47"/>
      <c r="M122" s="47"/>
      <c r="N122" s="47"/>
      <c r="O122" s="47"/>
      <c r="P122" s="47"/>
      <c r="Q122" s="47"/>
    </row>
    <row r="123" spans="1:17" s="4" customFormat="1" x14ac:dyDescent="0.2">
      <c r="A123" s="23"/>
      <c r="B123" s="24"/>
      <c r="C123" s="24"/>
      <c r="D123" s="24"/>
      <c r="E123" s="24"/>
      <c r="F123" s="24"/>
      <c r="G123" s="24"/>
      <c r="H123" s="24"/>
      <c r="I123" s="47"/>
      <c r="J123" s="59"/>
      <c r="K123" s="47"/>
      <c r="L123" s="47"/>
      <c r="M123" s="47"/>
      <c r="N123" s="47"/>
      <c r="O123" s="47"/>
      <c r="P123" s="47"/>
      <c r="Q123" s="47"/>
    </row>
    <row r="124" spans="1:17" s="4" customFormat="1" x14ac:dyDescent="0.2">
      <c r="A124" s="23"/>
      <c r="B124" s="24"/>
      <c r="C124" s="24"/>
      <c r="D124" s="24"/>
      <c r="E124" s="24"/>
      <c r="F124" s="24"/>
      <c r="G124" s="24"/>
      <c r="H124" s="24"/>
      <c r="I124" s="47"/>
      <c r="J124" s="59"/>
      <c r="K124" s="47"/>
      <c r="L124" s="47"/>
      <c r="M124" s="47"/>
      <c r="N124" s="47"/>
      <c r="O124" s="47"/>
      <c r="P124" s="47"/>
      <c r="Q124" s="47"/>
    </row>
    <row r="125" spans="1:17" s="4" customFormat="1" x14ac:dyDescent="0.2">
      <c r="A125" s="23"/>
      <c r="B125" s="24"/>
      <c r="C125" s="24"/>
      <c r="D125" s="24"/>
      <c r="E125" s="24"/>
      <c r="F125" s="24"/>
      <c r="G125" s="24"/>
      <c r="H125" s="24"/>
      <c r="I125" s="47"/>
      <c r="J125" s="59"/>
      <c r="K125" s="47"/>
      <c r="L125" s="47"/>
      <c r="M125" s="47"/>
      <c r="N125" s="47"/>
      <c r="O125" s="47"/>
      <c r="P125" s="47"/>
      <c r="Q125" s="47"/>
    </row>
    <row r="126" spans="1:17" s="4" customFormat="1" x14ac:dyDescent="0.2">
      <c r="A126" s="23"/>
      <c r="B126" s="24"/>
      <c r="C126" s="24"/>
      <c r="D126" s="24"/>
      <c r="E126" s="24"/>
      <c r="F126" s="24"/>
      <c r="G126" s="24"/>
      <c r="H126" s="24"/>
      <c r="I126" s="47"/>
      <c r="J126" s="59"/>
      <c r="K126" s="47"/>
      <c r="L126" s="47"/>
      <c r="M126" s="47"/>
      <c r="N126" s="47"/>
      <c r="O126" s="47"/>
      <c r="P126" s="47"/>
      <c r="Q126" s="47"/>
    </row>
    <row r="127" spans="1:17" s="4" customFormat="1" x14ac:dyDescent="0.2">
      <c r="A127" s="23"/>
      <c r="B127" s="24"/>
      <c r="C127" s="24"/>
      <c r="D127" s="24"/>
      <c r="E127" s="24"/>
      <c r="F127" s="24"/>
      <c r="G127" s="24"/>
      <c r="H127" s="24"/>
      <c r="I127" s="47"/>
      <c r="J127" s="59"/>
      <c r="K127" s="47"/>
      <c r="L127" s="47"/>
      <c r="M127" s="47"/>
      <c r="N127" s="47"/>
      <c r="O127" s="47"/>
      <c r="P127" s="47"/>
      <c r="Q127" s="47"/>
    </row>
    <row r="128" spans="1:17" s="4" customFormat="1" x14ac:dyDescent="0.2">
      <c r="A128" s="23"/>
      <c r="B128" s="24"/>
      <c r="C128" s="24"/>
      <c r="D128" s="24"/>
      <c r="E128" s="24"/>
      <c r="F128" s="24"/>
      <c r="G128" s="24"/>
      <c r="H128" s="24"/>
      <c r="I128" s="47"/>
      <c r="J128" s="59"/>
      <c r="K128" s="47"/>
      <c r="L128" s="47"/>
      <c r="M128" s="47"/>
      <c r="N128" s="47"/>
      <c r="O128" s="47"/>
      <c r="P128" s="47"/>
      <c r="Q128" s="47"/>
    </row>
    <row r="129" spans="1:17" s="4" customFormat="1" x14ac:dyDescent="0.2">
      <c r="A129" s="140"/>
      <c r="B129" s="141"/>
      <c r="C129" s="141"/>
      <c r="D129" s="141"/>
      <c r="E129" s="141"/>
      <c r="F129" s="141"/>
      <c r="G129" s="141"/>
      <c r="H129" s="141"/>
      <c r="I129" s="47"/>
      <c r="J129" s="59"/>
      <c r="K129" s="47"/>
      <c r="L129" s="47"/>
      <c r="M129" s="47"/>
      <c r="N129" s="47"/>
      <c r="O129" s="47"/>
      <c r="P129" s="47"/>
      <c r="Q129" s="47"/>
    </row>
    <row r="130" spans="1:17" s="4" customFormat="1" x14ac:dyDescent="0.2">
      <c r="A130" s="140"/>
      <c r="B130" s="141"/>
      <c r="C130" s="141"/>
      <c r="D130" s="141"/>
      <c r="E130" s="141"/>
      <c r="F130" s="141"/>
      <c r="G130" s="141"/>
      <c r="H130" s="141"/>
      <c r="I130" s="47"/>
      <c r="J130" s="59"/>
      <c r="K130" s="47"/>
      <c r="L130" s="47"/>
      <c r="M130" s="47"/>
      <c r="N130" s="47"/>
      <c r="O130" s="47"/>
      <c r="P130" s="47"/>
      <c r="Q130" s="47"/>
    </row>
    <row r="131" spans="1:17" s="4" customFormat="1" x14ac:dyDescent="0.2">
      <c r="A131" s="142" t="s">
        <v>58</v>
      </c>
      <c r="B131" s="141"/>
      <c r="C131" s="141"/>
      <c r="D131" s="141"/>
      <c r="E131" s="141"/>
      <c r="F131" s="141"/>
      <c r="G131" s="141"/>
      <c r="H131" s="141"/>
      <c r="I131" s="47"/>
      <c r="J131" s="59"/>
      <c r="K131" s="47"/>
      <c r="L131" s="47"/>
      <c r="M131" s="47"/>
      <c r="N131" s="47"/>
      <c r="O131" s="47"/>
      <c r="P131" s="47"/>
      <c r="Q131" s="47"/>
    </row>
    <row r="132" spans="1:17" s="4" customFormat="1" x14ac:dyDescent="0.2">
      <c r="A132" s="140"/>
      <c r="B132" s="141"/>
      <c r="C132" s="141"/>
      <c r="D132" s="141"/>
      <c r="E132" s="141"/>
      <c r="F132" s="141"/>
      <c r="G132" s="141"/>
      <c r="H132" s="141"/>
      <c r="I132" s="47"/>
      <c r="J132" s="59"/>
      <c r="K132" s="47"/>
      <c r="L132" s="47"/>
      <c r="M132" s="47"/>
      <c r="N132" s="47"/>
      <c r="O132" s="47"/>
      <c r="P132" s="47"/>
      <c r="Q132" s="47"/>
    </row>
    <row r="133" spans="1:17" s="4" customFormat="1" x14ac:dyDescent="0.2">
      <c r="A133" s="140"/>
      <c r="B133" s="141"/>
      <c r="C133" s="141"/>
      <c r="D133" s="141"/>
      <c r="E133" s="141"/>
      <c r="F133" s="141"/>
      <c r="G133" s="141"/>
      <c r="H133" s="141"/>
      <c r="I133" s="47"/>
      <c r="J133" s="59"/>
      <c r="K133" s="47"/>
      <c r="L133" s="47"/>
      <c r="M133" s="47"/>
      <c r="N133" s="47"/>
      <c r="O133" s="47"/>
      <c r="P133" s="47"/>
      <c r="Q133" s="47"/>
    </row>
    <row r="134" spans="1:17" s="4" customFormat="1" x14ac:dyDescent="0.2">
      <c r="A134" s="140"/>
      <c r="B134" s="141"/>
      <c r="C134" s="141"/>
      <c r="D134" s="141"/>
      <c r="E134" s="141"/>
      <c r="F134" s="141"/>
      <c r="G134" s="141"/>
      <c r="H134" s="141"/>
      <c r="I134" s="47"/>
      <c r="J134" s="59"/>
      <c r="K134" s="47"/>
      <c r="L134" s="47"/>
      <c r="M134" s="47"/>
      <c r="N134" s="47"/>
      <c r="O134" s="47"/>
      <c r="P134" s="47"/>
      <c r="Q134" s="47"/>
    </row>
    <row r="135" spans="1:17" s="4" customFormat="1" x14ac:dyDescent="0.2">
      <c r="A135" s="140"/>
      <c r="B135" s="141"/>
      <c r="C135" s="141"/>
      <c r="D135" s="141"/>
      <c r="E135" s="141"/>
      <c r="F135" s="141"/>
      <c r="G135" s="141"/>
      <c r="H135" s="141"/>
      <c r="I135" s="47"/>
      <c r="J135" s="59"/>
      <c r="K135" s="47"/>
      <c r="L135" s="47"/>
      <c r="M135" s="47"/>
      <c r="N135" s="47"/>
      <c r="O135" s="47"/>
      <c r="P135" s="47"/>
      <c r="Q135" s="47"/>
    </row>
    <row r="136" spans="1:17" s="4" customFormat="1" x14ac:dyDescent="0.2">
      <c r="A136" s="140"/>
      <c r="B136" s="141"/>
      <c r="C136" s="141"/>
      <c r="D136" s="141"/>
      <c r="E136" s="141"/>
      <c r="F136" s="141"/>
      <c r="G136" s="141"/>
      <c r="H136" s="141"/>
      <c r="I136" s="47"/>
      <c r="J136" s="59"/>
      <c r="K136" s="47"/>
      <c r="L136" s="47"/>
      <c r="M136" s="47"/>
      <c r="N136" s="47"/>
      <c r="O136" s="47"/>
      <c r="P136" s="47"/>
      <c r="Q136" s="47"/>
    </row>
    <row r="137" spans="1:17" s="4" customFormat="1" x14ac:dyDescent="0.2">
      <c r="A137" s="140"/>
      <c r="B137" s="141"/>
      <c r="C137" s="141"/>
      <c r="D137" s="141"/>
      <c r="E137" s="141"/>
      <c r="F137" s="141"/>
      <c r="G137" s="141"/>
      <c r="H137" s="141"/>
      <c r="I137" s="47"/>
      <c r="J137" s="59"/>
      <c r="K137" s="47"/>
      <c r="L137" s="47"/>
      <c r="M137" s="47"/>
      <c r="N137" s="47"/>
      <c r="O137" s="47"/>
      <c r="P137" s="47"/>
      <c r="Q137" s="47"/>
    </row>
    <row r="138" spans="1:17" s="4" customFormat="1" x14ac:dyDescent="0.2">
      <c r="A138" s="143"/>
      <c r="B138" s="141"/>
      <c r="C138" s="141"/>
      <c r="D138" s="141"/>
      <c r="E138" s="141"/>
      <c r="F138" s="141"/>
      <c r="G138" s="141"/>
      <c r="H138" s="141"/>
      <c r="I138" s="47"/>
      <c r="J138" s="59"/>
      <c r="K138" s="47"/>
      <c r="L138" s="47"/>
      <c r="M138" s="47"/>
      <c r="N138" s="47"/>
      <c r="O138" s="47"/>
      <c r="P138" s="47"/>
      <c r="Q138" s="47"/>
    </row>
    <row r="139" spans="1:17" s="4" customFormat="1" x14ac:dyDescent="0.2">
      <c r="A139" s="140"/>
      <c r="B139" s="141"/>
      <c r="C139" s="141"/>
      <c r="D139" s="141"/>
      <c r="E139" s="141"/>
      <c r="F139" s="141"/>
      <c r="G139" s="141"/>
      <c r="H139" s="141"/>
      <c r="I139" s="47"/>
      <c r="J139" s="59"/>
      <c r="K139" s="47"/>
      <c r="L139" s="47"/>
      <c r="M139" s="47"/>
      <c r="N139" s="47"/>
      <c r="O139" s="47"/>
      <c r="P139" s="47"/>
      <c r="Q139" s="47"/>
    </row>
    <row r="140" spans="1:17" s="4" customFormat="1" x14ac:dyDescent="0.2">
      <c r="A140" s="140"/>
      <c r="B140" s="141"/>
      <c r="C140" s="141"/>
      <c r="D140" s="141"/>
      <c r="E140" s="141"/>
      <c r="F140" s="141"/>
      <c r="G140" s="141"/>
      <c r="H140" s="141"/>
      <c r="I140" s="47"/>
      <c r="J140" s="59"/>
      <c r="K140" s="47"/>
      <c r="L140" s="47"/>
      <c r="M140" s="47"/>
      <c r="N140" s="47"/>
      <c r="O140" s="47"/>
      <c r="P140" s="47"/>
      <c r="Q140" s="47"/>
    </row>
    <row r="141" spans="1:17" s="4" customFormat="1" x14ac:dyDescent="0.2">
      <c r="A141" s="140"/>
      <c r="B141" s="141"/>
      <c r="C141" s="141"/>
      <c r="D141" s="141"/>
      <c r="E141" s="141"/>
      <c r="F141" s="141"/>
      <c r="G141" s="141"/>
      <c r="H141" s="141"/>
      <c r="I141" s="47"/>
      <c r="J141" s="59"/>
      <c r="K141" s="47"/>
      <c r="L141" s="47"/>
      <c r="M141" s="47"/>
      <c r="N141" s="47"/>
      <c r="O141" s="47"/>
      <c r="P141" s="47"/>
      <c r="Q141" s="47"/>
    </row>
    <row r="142" spans="1:17" s="4" customFormat="1" x14ac:dyDescent="0.2">
      <c r="A142" s="140"/>
      <c r="B142" s="141"/>
      <c r="C142" s="141"/>
      <c r="D142" s="141"/>
      <c r="E142" s="141"/>
      <c r="F142" s="141"/>
      <c r="G142" s="141"/>
      <c r="H142" s="141"/>
      <c r="I142" s="47"/>
      <c r="J142" s="59"/>
      <c r="K142" s="47"/>
      <c r="L142" s="47"/>
      <c r="M142" s="47"/>
      <c r="N142" s="47"/>
      <c r="O142" s="47"/>
      <c r="P142" s="47"/>
      <c r="Q142" s="47"/>
    </row>
    <row r="143" spans="1:17" s="4" customFormat="1" x14ac:dyDescent="0.2">
      <c r="A143" s="140"/>
      <c r="B143" s="141"/>
      <c r="C143" s="141"/>
      <c r="D143" s="141"/>
      <c r="E143" s="141"/>
      <c r="F143" s="141"/>
      <c r="G143" s="141"/>
      <c r="H143" s="141"/>
      <c r="I143" s="47"/>
      <c r="J143" s="59"/>
      <c r="K143" s="47"/>
      <c r="L143" s="47"/>
      <c r="M143" s="47"/>
      <c r="N143" s="47"/>
      <c r="O143" s="47"/>
      <c r="P143" s="47"/>
      <c r="Q143" s="47"/>
    </row>
    <row r="144" spans="1:17" s="4" customFormat="1" x14ac:dyDescent="0.2">
      <c r="A144" s="140"/>
      <c r="B144" s="141"/>
      <c r="C144" s="141"/>
      <c r="D144" s="141"/>
      <c r="E144" s="141"/>
      <c r="F144" s="141"/>
      <c r="G144" s="141"/>
      <c r="H144" s="141"/>
      <c r="I144" s="47"/>
      <c r="J144" s="59"/>
      <c r="K144" s="47"/>
      <c r="L144" s="47"/>
      <c r="M144" s="47"/>
      <c r="N144" s="47"/>
      <c r="O144" s="47"/>
      <c r="P144" s="47"/>
      <c r="Q144" s="47"/>
    </row>
    <row r="145" spans="1:17" s="4" customFormat="1" x14ac:dyDescent="0.2">
      <c r="A145" s="140"/>
      <c r="B145" s="141"/>
      <c r="C145" s="141"/>
      <c r="D145" s="141"/>
      <c r="E145" s="141"/>
      <c r="F145" s="141"/>
      <c r="G145" s="141"/>
      <c r="H145" s="141"/>
      <c r="I145" s="47"/>
      <c r="J145" s="59"/>
      <c r="K145" s="47"/>
      <c r="L145" s="47"/>
      <c r="M145" s="47"/>
      <c r="N145" s="47"/>
      <c r="O145" s="47"/>
      <c r="P145" s="47"/>
      <c r="Q145" s="47"/>
    </row>
    <row r="146" spans="1:17" s="4" customFormat="1" x14ac:dyDescent="0.2">
      <c r="A146" s="140"/>
      <c r="B146" s="141"/>
      <c r="C146" s="141"/>
      <c r="D146" s="141"/>
      <c r="E146" s="141"/>
      <c r="F146" s="141"/>
      <c r="G146" s="141"/>
      <c r="H146" s="141"/>
      <c r="I146" s="47"/>
      <c r="J146" s="59"/>
      <c r="K146" s="47"/>
      <c r="L146" s="47"/>
      <c r="M146" s="47"/>
      <c r="N146" s="47"/>
      <c r="O146" s="47"/>
      <c r="P146" s="47"/>
      <c r="Q146" s="47"/>
    </row>
    <row r="147" spans="1:17" s="4" customFormat="1" x14ac:dyDescent="0.2">
      <c r="A147" s="140"/>
      <c r="B147" s="141"/>
      <c r="C147" s="141"/>
      <c r="D147" s="141"/>
      <c r="E147" s="141"/>
      <c r="F147" s="141"/>
      <c r="G147" s="141"/>
      <c r="H147" s="141"/>
      <c r="I147" s="47"/>
      <c r="J147" s="59"/>
      <c r="K147" s="47"/>
      <c r="L147" s="47"/>
      <c r="M147" s="47"/>
      <c r="N147" s="47"/>
      <c r="O147" s="47"/>
      <c r="P147" s="47"/>
      <c r="Q147" s="47"/>
    </row>
    <row r="148" spans="1:17" s="4" customFormat="1" x14ac:dyDescent="0.2">
      <c r="A148" s="140"/>
      <c r="B148" s="141"/>
      <c r="C148" s="141"/>
      <c r="D148" s="141"/>
      <c r="E148" s="141"/>
      <c r="F148" s="141"/>
      <c r="G148" s="141"/>
      <c r="H148" s="141"/>
      <c r="I148" s="47"/>
      <c r="J148" s="59"/>
      <c r="K148" s="47"/>
      <c r="L148" s="47"/>
      <c r="M148" s="47"/>
      <c r="N148" s="60"/>
      <c r="O148" s="47"/>
      <c r="P148" s="47"/>
      <c r="Q148" s="47"/>
    </row>
    <row r="149" spans="1:17" s="4" customFormat="1" x14ac:dyDescent="0.2">
      <c r="A149" s="140"/>
      <c r="B149" s="141"/>
      <c r="C149" s="141"/>
      <c r="D149" s="141"/>
      <c r="E149" s="141"/>
      <c r="F149" s="141"/>
      <c r="G149" s="141"/>
      <c r="H149" s="141"/>
      <c r="I149" s="47"/>
      <c r="J149" s="59"/>
      <c r="K149" s="47"/>
      <c r="L149" s="47"/>
      <c r="M149" s="47"/>
      <c r="N149" s="47"/>
      <c r="O149" s="47"/>
      <c r="P149" s="47"/>
      <c r="Q149" s="47"/>
    </row>
    <row r="150" spans="1:17" s="4" customFormat="1" x14ac:dyDescent="0.2">
      <c r="A150" s="140"/>
      <c r="B150" s="141"/>
      <c r="C150" s="141"/>
      <c r="D150" s="141"/>
      <c r="E150" s="141"/>
      <c r="F150" s="141"/>
      <c r="G150" s="141"/>
      <c r="H150" s="141"/>
      <c r="I150" s="47"/>
      <c r="J150" s="59"/>
      <c r="K150" s="47"/>
      <c r="L150" s="47"/>
      <c r="M150" s="47"/>
      <c r="N150" s="47"/>
      <c r="O150" s="47"/>
      <c r="P150" s="47"/>
      <c r="Q150" s="47"/>
    </row>
    <row r="151" spans="1:17" s="4" customFormat="1" x14ac:dyDescent="0.2">
      <c r="A151" s="140"/>
      <c r="B151" s="141"/>
      <c r="C151" s="141"/>
      <c r="D151" s="141"/>
      <c r="E151" s="141"/>
      <c r="F151" s="141"/>
      <c r="G151" s="141"/>
      <c r="H151" s="141"/>
      <c r="I151" s="47"/>
      <c r="J151" s="59"/>
      <c r="K151" s="47"/>
      <c r="L151" s="47"/>
      <c r="M151" s="47"/>
      <c r="N151" s="47"/>
      <c r="O151" s="47"/>
      <c r="P151" s="47"/>
      <c r="Q151" s="47"/>
    </row>
    <row r="152" spans="1:17" s="4" customFormat="1" x14ac:dyDescent="0.2">
      <c r="A152" s="140"/>
      <c r="B152" s="141"/>
      <c r="C152" s="141"/>
      <c r="D152" s="141"/>
      <c r="E152" s="141"/>
      <c r="F152" s="141"/>
      <c r="G152" s="141"/>
      <c r="H152" s="141"/>
      <c r="I152" s="47"/>
      <c r="J152" s="59"/>
      <c r="K152" s="47"/>
      <c r="L152" s="47"/>
      <c r="M152" s="47"/>
      <c r="N152" s="47"/>
      <c r="O152" s="47"/>
      <c r="P152" s="47"/>
      <c r="Q152" s="47"/>
    </row>
    <row r="153" spans="1:17" s="4" customFormat="1" x14ac:dyDescent="0.2">
      <c r="A153" s="140"/>
      <c r="B153" s="141"/>
      <c r="C153" s="141"/>
      <c r="D153" s="141"/>
      <c r="E153" s="141"/>
      <c r="F153" s="141"/>
      <c r="G153" s="141"/>
      <c r="H153" s="141"/>
      <c r="I153" s="47"/>
      <c r="J153" s="59"/>
      <c r="K153" s="47"/>
      <c r="L153" s="47"/>
      <c r="M153" s="47"/>
      <c r="N153" s="47"/>
      <c r="O153" s="47"/>
      <c r="P153" s="47"/>
      <c r="Q153" s="47"/>
    </row>
    <row r="154" spans="1:17" s="4" customFormat="1" x14ac:dyDescent="0.2">
      <c r="A154" s="23"/>
      <c r="B154" s="24"/>
      <c r="C154" s="24"/>
      <c r="D154" s="24"/>
      <c r="E154" s="24"/>
      <c r="F154" s="24"/>
      <c r="G154" s="24"/>
      <c r="H154" s="24"/>
      <c r="I154" s="47"/>
      <c r="J154" s="59"/>
      <c r="K154" s="47"/>
      <c r="L154" s="47"/>
      <c r="M154" s="47"/>
      <c r="N154" s="47"/>
      <c r="O154" s="47"/>
      <c r="P154" s="47"/>
      <c r="Q154" s="47"/>
    </row>
    <row r="155" spans="1:17" s="4" customFormat="1" x14ac:dyDescent="0.2">
      <c r="A155" s="23"/>
      <c r="B155" s="24"/>
      <c r="C155" s="24"/>
      <c r="D155" s="24"/>
      <c r="E155" s="24"/>
      <c r="F155" s="24"/>
      <c r="G155" s="24"/>
      <c r="H155" s="24"/>
      <c r="I155" s="47"/>
      <c r="J155" s="59"/>
      <c r="K155" s="47"/>
      <c r="L155" s="47"/>
      <c r="M155" s="47"/>
      <c r="N155" s="47"/>
      <c r="O155" s="47"/>
      <c r="P155" s="47"/>
      <c r="Q155" s="47"/>
    </row>
    <row r="156" spans="1:17" s="4" customFormat="1" x14ac:dyDescent="0.2">
      <c r="A156" s="23"/>
      <c r="B156" s="24"/>
      <c r="C156" s="24"/>
      <c r="D156" s="24"/>
      <c r="E156" s="24"/>
      <c r="F156" s="24"/>
      <c r="G156" s="24"/>
      <c r="H156" s="24"/>
      <c r="I156" s="47"/>
      <c r="J156" s="59"/>
      <c r="K156" s="47"/>
      <c r="L156" s="47"/>
      <c r="M156" s="47"/>
      <c r="N156" s="47"/>
      <c r="O156" s="47"/>
      <c r="P156" s="47"/>
      <c r="Q156" s="47"/>
    </row>
    <row r="157" spans="1:17" s="4" customFormat="1" x14ac:dyDescent="0.2">
      <c r="A157" s="23"/>
      <c r="B157" s="24"/>
      <c r="C157" s="24"/>
      <c r="D157" s="24"/>
      <c r="E157" s="24"/>
      <c r="F157" s="24"/>
      <c r="G157" s="24"/>
      <c r="H157" s="24"/>
      <c r="I157" s="47"/>
      <c r="J157" s="59"/>
      <c r="K157" s="47"/>
      <c r="L157" s="47"/>
      <c r="M157" s="47"/>
      <c r="N157" s="47"/>
      <c r="O157" s="47"/>
      <c r="P157" s="47"/>
      <c r="Q157" s="47"/>
    </row>
    <row r="158" spans="1:17" s="4" customFormat="1" x14ac:dyDescent="0.2">
      <c r="A158" s="23"/>
      <c r="B158" s="24"/>
      <c r="C158" s="24"/>
      <c r="D158" s="24"/>
      <c r="E158" s="24"/>
      <c r="F158" s="24"/>
      <c r="G158" s="24"/>
      <c r="H158" s="24"/>
      <c r="I158" s="47"/>
      <c r="J158" s="59"/>
      <c r="K158" s="47"/>
      <c r="L158" s="47"/>
      <c r="M158" s="47"/>
      <c r="N158" s="47"/>
      <c r="O158" s="47"/>
      <c r="P158" s="47"/>
      <c r="Q158" s="47"/>
    </row>
    <row r="159" spans="1:17" s="4" customFormat="1" x14ac:dyDescent="0.2">
      <c r="A159" s="23"/>
      <c r="B159" s="24"/>
      <c r="C159" s="24"/>
      <c r="D159" s="24"/>
      <c r="E159" s="24"/>
      <c r="F159" s="24"/>
      <c r="G159" s="24"/>
      <c r="H159" s="24"/>
      <c r="I159" s="47"/>
      <c r="J159" s="59"/>
      <c r="K159" s="47"/>
      <c r="L159" s="47"/>
      <c r="M159" s="47"/>
      <c r="N159" s="47"/>
      <c r="O159" s="47"/>
      <c r="P159" s="47"/>
      <c r="Q159" s="47"/>
    </row>
    <row r="160" spans="1:17" s="4" customFormat="1" x14ac:dyDescent="0.2">
      <c r="A160" s="23"/>
      <c r="B160" s="24"/>
      <c r="C160" s="24"/>
      <c r="D160" s="24"/>
      <c r="E160" s="24"/>
      <c r="F160" s="24"/>
      <c r="G160" s="24"/>
      <c r="H160" s="24"/>
      <c r="I160" s="47"/>
      <c r="J160" s="59"/>
      <c r="K160" s="47"/>
      <c r="L160" s="47"/>
      <c r="M160" s="47"/>
      <c r="N160" s="47"/>
      <c r="O160" s="47"/>
      <c r="P160" s="47"/>
      <c r="Q160" s="47"/>
    </row>
    <row r="161" spans="1:17" s="4" customFormat="1" x14ac:dyDescent="0.2">
      <c r="A161" s="23"/>
      <c r="B161" s="24"/>
      <c r="C161" s="24"/>
      <c r="D161" s="24"/>
      <c r="E161" s="24"/>
      <c r="F161" s="24"/>
      <c r="G161" s="24"/>
      <c r="H161" s="24"/>
      <c r="I161" s="47"/>
      <c r="J161" s="59"/>
      <c r="K161" s="47"/>
      <c r="L161" s="47"/>
      <c r="M161" s="47"/>
      <c r="N161" s="47"/>
      <c r="O161" s="47"/>
      <c r="P161" s="47"/>
      <c r="Q161" s="47"/>
    </row>
    <row r="162" spans="1:17" s="4" customFormat="1" x14ac:dyDescent="0.2">
      <c r="A162" s="23"/>
      <c r="B162" s="24"/>
      <c r="C162" s="24"/>
      <c r="D162" s="24"/>
      <c r="E162" s="24"/>
      <c r="F162" s="24"/>
      <c r="G162" s="24"/>
      <c r="H162" s="24"/>
      <c r="I162" s="47"/>
      <c r="J162" s="59"/>
      <c r="K162" s="47"/>
      <c r="L162" s="47"/>
      <c r="M162" s="47"/>
      <c r="N162" s="47"/>
      <c r="O162" s="47"/>
      <c r="P162" s="47"/>
      <c r="Q162" s="47"/>
    </row>
    <row r="163" spans="1:17" s="4" customFormat="1" x14ac:dyDescent="0.2">
      <c r="A163" s="23"/>
      <c r="B163" s="24"/>
      <c r="C163" s="24"/>
      <c r="D163" s="24"/>
      <c r="E163" s="24"/>
      <c r="F163" s="24"/>
      <c r="G163" s="24"/>
      <c r="H163" s="24"/>
      <c r="I163" s="47"/>
      <c r="J163" s="59"/>
      <c r="K163" s="47"/>
      <c r="L163" s="47"/>
      <c r="M163" s="47"/>
      <c r="N163" s="47"/>
      <c r="O163" s="47"/>
      <c r="P163" s="47"/>
      <c r="Q163" s="47"/>
    </row>
    <row r="164" spans="1:17" s="4" customFormat="1" x14ac:dyDescent="0.2">
      <c r="A164" s="23"/>
      <c r="B164" s="24"/>
      <c r="C164" s="24"/>
      <c r="D164" s="24"/>
      <c r="E164" s="24"/>
      <c r="F164" s="24"/>
      <c r="G164" s="24"/>
      <c r="H164" s="24"/>
      <c r="I164" s="47"/>
      <c r="J164" s="59"/>
      <c r="K164" s="47"/>
      <c r="L164" s="47"/>
      <c r="M164" s="47"/>
      <c r="N164" s="47"/>
      <c r="O164" s="47"/>
      <c r="P164" s="47"/>
      <c r="Q164" s="47"/>
    </row>
    <row r="165" spans="1:17" s="4" customFormat="1" x14ac:dyDescent="0.2">
      <c r="A165" s="23"/>
      <c r="B165" s="24"/>
      <c r="C165" s="24"/>
      <c r="D165" s="24"/>
      <c r="E165" s="24"/>
      <c r="F165" s="24"/>
      <c r="G165" s="24"/>
      <c r="H165" s="24"/>
      <c r="I165" s="47"/>
      <c r="J165" s="59"/>
      <c r="K165" s="47"/>
      <c r="L165" s="47"/>
      <c r="M165" s="47"/>
      <c r="N165" s="47"/>
      <c r="O165" s="47"/>
      <c r="P165" s="47"/>
      <c r="Q165" s="47"/>
    </row>
    <row r="166" spans="1:17" s="4" customFormat="1" x14ac:dyDescent="0.2">
      <c r="A166" s="23"/>
      <c r="B166" s="24"/>
      <c r="C166" s="24"/>
      <c r="D166" s="24"/>
      <c r="E166" s="24"/>
      <c r="F166" s="24"/>
      <c r="G166" s="24"/>
      <c r="H166" s="24"/>
      <c r="I166" s="47"/>
      <c r="J166" s="59"/>
      <c r="K166" s="47"/>
      <c r="L166" s="47"/>
      <c r="M166" s="47"/>
      <c r="N166" s="47"/>
      <c r="O166" s="47"/>
      <c r="P166" s="47"/>
      <c r="Q166" s="47"/>
    </row>
    <row r="167" spans="1:17" s="4" customFormat="1" x14ac:dyDescent="0.2">
      <c r="A167" s="23"/>
      <c r="B167" s="24"/>
      <c r="C167" s="24"/>
      <c r="D167" s="24"/>
      <c r="E167" s="24"/>
      <c r="F167" s="24"/>
      <c r="G167" s="24"/>
      <c r="H167" s="24"/>
      <c r="I167" s="47"/>
      <c r="J167" s="59"/>
      <c r="K167" s="47"/>
      <c r="L167" s="47"/>
      <c r="M167" s="47"/>
      <c r="N167" s="47"/>
      <c r="O167" s="47"/>
      <c r="P167" s="47"/>
      <c r="Q167" s="47"/>
    </row>
    <row r="168" spans="1:17" s="4" customFormat="1" x14ac:dyDescent="0.2">
      <c r="A168" s="23"/>
      <c r="B168" s="24"/>
      <c r="C168" s="24"/>
      <c r="D168" s="24"/>
      <c r="E168" s="24"/>
      <c r="F168" s="24"/>
      <c r="G168" s="24"/>
      <c r="H168" s="24"/>
      <c r="I168" s="47"/>
      <c r="J168" s="59"/>
      <c r="K168" s="47"/>
      <c r="L168" s="47"/>
      <c r="M168" s="47"/>
      <c r="N168" s="47"/>
      <c r="O168" s="47"/>
      <c r="P168" s="47"/>
      <c r="Q168" s="47"/>
    </row>
    <row r="169" spans="1:17" s="4" customFormat="1" x14ac:dyDescent="0.2">
      <c r="A169" s="23"/>
      <c r="B169" s="24"/>
      <c r="C169" s="24"/>
      <c r="D169" s="24"/>
      <c r="E169" s="24"/>
      <c r="F169" s="24"/>
      <c r="G169" s="24"/>
      <c r="H169" s="24"/>
      <c r="I169" s="47"/>
      <c r="J169" s="59"/>
      <c r="K169" s="47"/>
      <c r="L169" s="47"/>
      <c r="M169" s="47"/>
      <c r="N169" s="47"/>
      <c r="O169" s="47"/>
      <c r="P169" s="47"/>
      <c r="Q169" s="47"/>
    </row>
    <row r="170" spans="1:17" s="4" customFormat="1" x14ac:dyDescent="0.2">
      <c r="A170" s="23"/>
      <c r="B170" s="24"/>
      <c r="C170" s="24"/>
      <c r="D170" s="24"/>
      <c r="E170" s="24"/>
      <c r="F170" s="24"/>
      <c r="G170" s="24"/>
      <c r="H170" s="24"/>
      <c r="I170" s="47"/>
      <c r="J170" s="59"/>
      <c r="K170" s="47"/>
      <c r="L170" s="47"/>
      <c r="M170" s="47"/>
      <c r="N170" s="47"/>
      <c r="O170" s="47"/>
      <c r="P170" s="47"/>
      <c r="Q170" s="47"/>
    </row>
    <row r="171" spans="1:17" s="4" customFormat="1" x14ac:dyDescent="0.2">
      <c r="A171" s="23"/>
      <c r="B171" s="24"/>
      <c r="C171" s="24"/>
      <c r="D171" s="24"/>
      <c r="E171" s="24"/>
      <c r="F171" s="24"/>
      <c r="G171" s="24"/>
      <c r="H171" s="24"/>
      <c r="I171" s="47"/>
      <c r="J171" s="59"/>
      <c r="K171" s="47"/>
      <c r="L171" s="47"/>
      <c r="M171" s="47"/>
      <c r="N171" s="47"/>
      <c r="O171" s="47"/>
      <c r="P171" s="47"/>
      <c r="Q171" s="47"/>
    </row>
    <row r="172" spans="1:17" s="4" customFormat="1" x14ac:dyDescent="0.2">
      <c r="A172" s="23"/>
      <c r="B172" s="24"/>
      <c r="C172" s="24"/>
      <c r="D172" s="24"/>
      <c r="E172" s="24"/>
      <c r="F172" s="24"/>
      <c r="G172" s="24"/>
      <c r="H172" s="24"/>
      <c r="I172" s="47"/>
      <c r="J172" s="59"/>
      <c r="K172" s="47"/>
      <c r="L172" s="47"/>
      <c r="M172" s="47"/>
      <c r="N172" s="47"/>
      <c r="O172" s="47"/>
      <c r="P172" s="47"/>
      <c r="Q172" s="47"/>
    </row>
    <row r="173" spans="1:17" s="4" customFormat="1" x14ac:dyDescent="0.2">
      <c r="A173" s="23"/>
      <c r="B173" s="24"/>
      <c r="C173" s="24"/>
      <c r="D173" s="24"/>
      <c r="E173" s="24"/>
      <c r="F173" s="24"/>
      <c r="G173" s="24"/>
      <c r="H173" s="24"/>
      <c r="I173" s="47"/>
      <c r="J173" s="59"/>
      <c r="K173" s="47"/>
      <c r="L173" s="47"/>
      <c r="M173" s="47"/>
      <c r="N173" s="47"/>
      <c r="O173" s="47"/>
      <c r="P173" s="47"/>
      <c r="Q173" s="47"/>
    </row>
    <row r="174" spans="1:17" s="4" customFormat="1" x14ac:dyDescent="0.2">
      <c r="A174" s="23"/>
      <c r="B174" s="24"/>
      <c r="C174" s="24"/>
      <c r="D174" s="24"/>
      <c r="E174" s="24"/>
      <c r="F174" s="24"/>
      <c r="G174" s="24"/>
      <c r="H174" s="24"/>
      <c r="I174" s="47"/>
      <c r="J174" s="59"/>
      <c r="K174" s="47"/>
      <c r="L174" s="47"/>
      <c r="M174" s="47"/>
      <c r="N174" s="47"/>
      <c r="O174" s="47"/>
      <c r="P174" s="47"/>
      <c r="Q174" s="47"/>
    </row>
    <row r="175" spans="1:17" s="4" customFormat="1" x14ac:dyDescent="0.2">
      <c r="A175" s="23"/>
      <c r="B175" s="24"/>
      <c r="C175" s="24"/>
      <c r="D175" s="24"/>
      <c r="E175" s="24"/>
      <c r="F175" s="24"/>
      <c r="G175" s="24"/>
      <c r="H175" s="24"/>
      <c r="I175" s="47"/>
      <c r="J175" s="59"/>
      <c r="K175" s="47"/>
      <c r="L175" s="47"/>
      <c r="M175" s="47"/>
      <c r="N175" s="47"/>
      <c r="O175" s="47"/>
      <c r="P175" s="47"/>
      <c r="Q175" s="47"/>
    </row>
    <row r="176" spans="1:17" s="4" customFormat="1" x14ac:dyDescent="0.2">
      <c r="A176" s="23"/>
      <c r="B176" s="24"/>
      <c r="C176" s="24"/>
      <c r="D176" s="24"/>
      <c r="E176" s="24"/>
      <c r="F176" s="24"/>
      <c r="G176" s="24"/>
      <c r="H176" s="24"/>
      <c r="I176" s="47"/>
      <c r="J176" s="59"/>
      <c r="K176" s="47"/>
      <c r="L176" s="47"/>
      <c r="M176" s="47"/>
      <c r="N176" s="47"/>
      <c r="O176" s="47"/>
      <c r="P176" s="47"/>
      <c r="Q176" s="47"/>
    </row>
    <row r="177" spans="1:17" s="4" customFormat="1" x14ac:dyDescent="0.2">
      <c r="A177" s="23"/>
      <c r="B177" s="24"/>
      <c r="C177" s="24"/>
      <c r="D177" s="24"/>
      <c r="E177" s="24"/>
      <c r="F177" s="24"/>
      <c r="G177" s="24"/>
      <c r="H177" s="24"/>
      <c r="I177" s="47"/>
      <c r="J177" s="59"/>
      <c r="K177" s="47"/>
      <c r="L177" s="47"/>
      <c r="M177" s="47"/>
      <c r="N177" s="47"/>
      <c r="O177" s="47"/>
      <c r="P177" s="47"/>
      <c r="Q177" s="47"/>
    </row>
    <row r="178" spans="1:17" s="4" customFormat="1" x14ac:dyDescent="0.2">
      <c r="A178" s="23"/>
      <c r="B178" s="24"/>
      <c r="C178" s="24"/>
      <c r="D178" s="24"/>
      <c r="E178" s="24"/>
      <c r="F178" s="24"/>
      <c r="G178" s="24"/>
      <c r="H178" s="24"/>
      <c r="I178" s="47"/>
      <c r="J178" s="59"/>
      <c r="K178" s="47"/>
      <c r="L178" s="47"/>
      <c r="M178" s="47"/>
      <c r="N178" s="47"/>
      <c r="O178" s="47"/>
      <c r="P178" s="47"/>
      <c r="Q178" s="47"/>
    </row>
    <row r="179" spans="1:17" s="4" customFormat="1" x14ac:dyDescent="0.2">
      <c r="A179" s="23"/>
      <c r="B179" s="24"/>
      <c r="C179" s="24"/>
      <c r="D179" s="24"/>
      <c r="E179" s="24"/>
      <c r="F179" s="24"/>
      <c r="G179" s="24"/>
      <c r="H179" s="24"/>
      <c r="I179" s="47"/>
      <c r="J179" s="59"/>
      <c r="K179" s="47"/>
      <c r="L179" s="47"/>
      <c r="M179" s="47"/>
      <c r="N179" s="47"/>
      <c r="O179" s="47"/>
      <c r="P179" s="47"/>
      <c r="Q179" s="47"/>
    </row>
    <row r="180" spans="1:17" s="4" customFormat="1" x14ac:dyDescent="0.2">
      <c r="A180" s="23"/>
      <c r="B180" s="24"/>
      <c r="C180" s="24"/>
      <c r="D180" s="24"/>
      <c r="E180" s="24"/>
      <c r="F180" s="24"/>
      <c r="G180" s="24"/>
      <c r="H180" s="24"/>
      <c r="I180" s="47"/>
      <c r="J180" s="59"/>
      <c r="K180" s="47"/>
      <c r="L180" s="47"/>
      <c r="M180" s="47"/>
      <c r="N180" s="47"/>
      <c r="O180" s="47"/>
      <c r="P180" s="47"/>
      <c r="Q180" s="47"/>
    </row>
    <row r="181" spans="1:17" s="4" customFormat="1" x14ac:dyDescent="0.2">
      <c r="A181" s="23"/>
      <c r="B181" s="24"/>
      <c r="C181" s="24"/>
      <c r="D181" s="24"/>
      <c r="E181" s="24"/>
      <c r="F181" s="24"/>
      <c r="G181" s="24"/>
      <c r="H181" s="24"/>
      <c r="I181" s="47"/>
      <c r="J181" s="59"/>
      <c r="K181" s="47"/>
      <c r="L181" s="47"/>
      <c r="M181" s="47"/>
      <c r="N181" s="47"/>
      <c r="O181" s="47"/>
      <c r="P181" s="47"/>
      <c r="Q181" s="47"/>
    </row>
    <row r="182" spans="1:17" s="4" customFormat="1" x14ac:dyDescent="0.2">
      <c r="A182" s="23"/>
      <c r="B182" s="24"/>
      <c r="C182" s="24"/>
      <c r="D182" s="24"/>
      <c r="E182" s="24"/>
      <c r="F182" s="24"/>
      <c r="G182" s="24"/>
      <c r="H182" s="24"/>
      <c r="I182" s="47"/>
      <c r="J182" s="59"/>
      <c r="K182" s="47"/>
      <c r="L182" s="47"/>
      <c r="M182" s="47"/>
      <c r="N182" s="47"/>
      <c r="O182" s="47"/>
      <c r="P182" s="47"/>
      <c r="Q182" s="47"/>
    </row>
    <row r="183" spans="1:17" s="4" customFormat="1" x14ac:dyDescent="0.2">
      <c r="A183" s="23"/>
      <c r="B183" s="24"/>
      <c r="C183" s="24"/>
      <c r="D183" s="24"/>
      <c r="E183" s="24"/>
      <c r="F183" s="24"/>
      <c r="G183" s="24"/>
      <c r="H183" s="24"/>
      <c r="I183" s="47"/>
      <c r="J183" s="59"/>
      <c r="K183" s="47"/>
      <c r="L183" s="47"/>
      <c r="M183" s="47"/>
      <c r="N183" s="47"/>
      <c r="O183" s="47"/>
      <c r="P183" s="47"/>
      <c r="Q183" s="47"/>
    </row>
    <row r="184" spans="1:17" s="4" customFormat="1" x14ac:dyDescent="0.2">
      <c r="A184" s="23"/>
      <c r="B184" s="24"/>
      <c r="C184" s="24"/>
      <c r="D184" s="24"/>
      <c r="E184" s="24"/>
      <c r="F184" s="24"/>
      <c r="G184" s="24"/>
      <c r="H184" s="24"/>
      <c r="I184" s="47"/>
      <c r="J184" s="59"/>
      <c r="K184" s="47"/>
      <c r="L184" s="47"/>
      <c r="M184" s="47"/>
      <c r="N184" s="47"/>
      <c r="O184" s="47"/>
      <c r="P184" s="47"/>
      <c r="Q184" s="47"/>
    </row>
    <row r="185" spans="1:17" s="4" customFormat="1" x14ac:dyDescent="0.2">
      <c r="A185" s="23"/>
      <c r="B185" s="24"/>
      <c r="C185" s="24"/>
      <c r="D185" s="24"/>
      <c r="E185" s="24"/>
      <c r="F185" s="24"/>
      <c r="G185" s="24"/>
      <c r="H185" s="24"/>
      <c r="I185" s="47"/>
      <c r="J185" s="59"/>
      <c r="K185" s="47"/>
      <c r="L185" s="47"/>
      <c r="M185" s="47"/>
      <c r="N185" s="47"/>
      <c r="O185" s="47"/>
      <c r="P185" s="47"/>
      <c r="Q185" s="47"/>
    </row>
    <row r="186" spans="1:17" s="4" customFormat="1" x14ac:dyDescent="0.2">
      <c r="A186" s="23"/>
      <c r="B186" s="24"/>
      <c r="C186" s="24"/>
      <c r="D186" s="24"/>
      <c r="E186" s="24"/>
      <c r="F186" s="24"/>
      <c r="G186" s="24"/>
      <c r="H186" s="24"/>
      <c r="I186" s="47"/>
      <c r="J186" s="59"/>
      <c r="K186" s="47"/>
      <c r="L186" s="47"/>
      <c r="M186" s="47"/>
      <c r="N186" s="47"/>
      <c r="O186" s="47"/>
      <c r="P186" s="47"/>
      <c r="Q186" s="47"/>
    </row>
    <row r="187" spans="1:17" s="4" customFormat="1" x14ac:dyDescent="0.2">
      <c r="A187" s="23"/>
      <c r="B187" s="24"/>
      <c r="C187" s="24"/>
      <c r="D187" s="24"/>
      <c r="E187" s="24"/>
      <c r="F187" s="24"/>
      <c r="G187" s="24"/>
      <c r="H187" s="24"/>
      <c r="I187" s="47"/>
      <c r="J187" s="59"/>
      <c r="K187" s="47"/>
      <c r="L187" s="47"/>
      <c r="M187" s="47"/>
      <c r="N187" s="47"/>
      <c r="O187" s="47"/>
      <c r="P187" s="47"/>
      <c r="Q187" s="47"/>
    </row>
    <row r="188" spans="1:17" s="4" customFormat="1" x14ac:dyDescent="0.2">
      <c r="A188" s="23"/>
      <c r="B188" s="24"/>
      <c r="C188" s="24"/>
      <c r="D188" s="24"/>
      <c r="E188" s="24"/>
      <c r="F188" s="24"/>
      <c r="G188" s="24"/>
      <c r="H188" s="24"/>
      <c r="I188" s="47"/>
      <c r="J188" s="59"/>
      <c r="K188" s="47"/>
      <c r="L188" s="47"/>
      <c r="M188" s="47"/>
      <c r="N188" s="47"/>
      <c r="O188" s="47"/>
      <c r="P188" s="47"/>
      <c r="Q188" s="47"/>
    </row>
    <row r="189" spans="1:17" s="4" customFormat="1" x14ac:dyDescent="0.2">
      <c r="A189" s="23"/>
      <c r="B189" s="24"/>
      <c r="C189" s="24"/>
      <c r="D189" s="24"/>
      <c r="E189" s="24"/>
      <c r="F189" s="24"/>
      <c r="G189" s="24"/>
      <c r="H189" s="24"/>
      <c r="I189" s="47"/>
      <c r="J189" s="59"/>
      <c r="K189" s="47"/>
      <c r="L189" s="47"/>
      <c r="M189" s="47"/>
      <c r="N189" s="47"/>
      <c r="O189" s="47"/>
      <c r="P189" s="47"/>
      <c r="Q189" s="47"/>
    </row>
    <row r="190" spans="1:17" s="4" customFormat="1" x14ac:dyDescent="0.2">
      <c r="A190" s="23"/>
      <c r="B190" s="24"/>
      <c r="C190" s="24"/>
      <c r="D190" s="24"/>
      <c r="E190" s="24"/>
      <c r="F190" s="24"/>
      <c r="G190" s="24"/>
      <c r="H190" s="24"/>
      <c r="I190" s="47"/>
      <c r="J190" s="59"/>
      <c r="K190" s="47"/>
      <c r="L190" s="47"/>
      <c r="M190" s="47"/>
      <c r="N190" s="47"/>
      <c r="O190" s="47"/>
      <c r="P190" s="47"/>
      <c r="Q190" s="47"/>
    </row>
    <row r="191" spans="1:17" s="4" customFormat="1" x14ac:dyDescent="0.2">
      <c r="A191" s="23"/>
      <c r="B191" s="24"/>
      <c r="C191" s="24"/>
      <c r="D191" s="24"/>
      <c r="E191" s="24"/>
      <c r="F191" s="24"/>
      <c r="G191" s="24"/>
      <c r="H191" s="24"/>
      <c r="I191" s="47"/>
      <c r="J191" s="59"/>
      <c r="K191" s="47"/>
      <c r="L191" s="47"/>
      <c r="M191" s="47"/>
      <c r="N191" s="47"/>
      <c r="O191" s="47"/>
      <c r="P191" s="47"/>
      <c r="Q191" s="47"/>
    </row>
    <row r="192" spans="1:17" s="4" customFormat="1" x14ac:dyDescent="0.2">
      <c r="A192" s="23"/>
      <c r="B192" s="24"/>
      <c r="C192" s="24"/>
      <c r="D192" s="24"/>
      <c r="E192" s="24"/>
      <c r="F192" s="24"/>
      <c r="G192" s="24"/>
      <c r="H192" s="24"/>
      <c r="I192" s="47"/>
      <c r="J192" s="59"/>
      <c r="K192" s="47"/>
      <c r="L192" s="47"/>
      <c r="M192" s="47"/>
      <c r="N192" s="47"/>
      <c r="O192" s="47"/>
      <c r="P192" s="47"/>
      <c r="Q192" s="47"/>
    </row>
    <row r="193" spans="1:17" s="4" customFormat="1" x14ac:dyDescent="0.2">
      <c r="A193" s="23"/>
      <c r="B193" s="24"/>
      <c r="C193" s="24"/>
      <c r="D193" s="24"/>
      <c r="E193" s="24"/>
      <c r="F193" s="24"/>
      <c r="G193" s="24"/>
      <c r="H193" s="24"/>
      <c r="I193" s="47"/>
      <c r="J193" s="59"/>
      <c r="K193" s="47"/>
      <c r="L193" s="47"/>
      <c r="M193" s="47"/>
      <c r="N193" s="47"/>
      <c r="O193" s="47"/>
      <c r="P193" s="47"/>
      <c r="Q193" s="47"/>
    </row>
    <row r="194" spans="1:17" s="4" customFormat="1" x14ac:dyDescent="0.2">
      <c r="A194" s="23"/>
      <c r="B194" s="24"/>
      <c r="C194" s="24"/>
      <c r="D194" s="24"/>
      <c r="E194" s="24"/>
      <c r="F194" s="24"/>
      <c r="G194" s="24"/>
      <c r="H194" s="24"/>
      <c r="I194" s="47"/>
      <c r="J194" s="59"/>
      <c r="K194" s="47"/>
      <c r="L194" s="47"/>
      <c r="M194" s="47"/>
      <c r="N194" s="47"/>
      <c r="O194" s="47"/>
      <c r="P194" s="47"/>
      <c r="Q194" s="47"/>
    </row>
    <row r="195" spans="1:17" s="4" customFormat="1" x14ac:dyDescent="0.2">
      <c r="A195" s="23"/>
      <c r="B195" s="24"/>
      <c r="C195" s="24"/>
      <c r="D195" s="24"/>
      <c r="E195" s="24"/>
      <c r="F195" s="24"/>
      <c r="G195" s="24"/>
      <c r="H195" s="24"/>
      <c r="I195" s="47"/>
      <c r="J195" s="59"/>
      <c r="K195" s="47"/>
      <c r="L195" s="47"/>
      <c r="M195" s="47"/>
      <c r="N195" s="47"/>
      <c r="O195" s="47"/>
      <c r="P195" s="47"/>
      <c r="Q195" s="47"/>
    </row>
    <row r="196" spans="1:17" s="4" customFormat="1" x14ac:dyDescent="0.2">
      <c r="A196" s="23"/>
      <c r="B196" s="24"/>
      <c r="C196" s="24"/>
      <c r="D196" s="24"/>
      <c r="E196" s="24"/>
      <c r="F196" s="24"/>
      <c r="G196" s="24"/>
      <c r="H196" s="24"/>
      <c r="I196" s="47"/>
      <c r="J196" s="59"/>
      <c r="K196" s="47"/>
      <c r="L196" s="47"/>
      <c r="M196" s="47"/>
      <c r="N196" s="47"/>
      <c r="O196" s="47"/>
      <c r="P196" s="47"/>
      <c r="Q196" s="47"/>
    </row>
    <row r="197" spans="1:17" s="4" customFormat="1" x14ac:dyDescent="0.2">
      <c r="A197" s="23"/>
      <c r="B197" s="24"/>
      <c r="C197" s="24"/>
      <c r="D197" s="24"/>
      <c r="E197" s="24"/>
      <c r="F197" s="24"/>
      <c r="G197" s="24"/>
      <c r="H197" s="24"/>
      <c r="I197" s="47"/>
      <c r="J197" s="59"/>
      <c r="K197" s="47"/>
      <c r="L197" s="47"/>
      <c r="M197" s="47"/>
      <c r="N197" s="47"/>
      <c r="O197" s="47"/>
      <c r="P197" s="47"/>
      <c r="Q197" s="47"/>
    </row>
    <row r="198" spans="1:17" s="4" customFormat="1" x14ac:dyDescent="0.2">
      <c r="A198" s="23"/>
      <c r="B198" s="24"/>
      <c r="C198" s="24"/>
      <c r="D198" s="24"/>
      <c r="E198" s="24"/>
      <c r="F198" s="24"/>
      <c r="G198" s="24"/>
      <c r="H198" s="24"/>
      <c r="I198" s="47"/>
      <c r="J198" s="59"/>
      <c r="K198" s="47"/>
      <c r="L198" s="47"/>
      <c r="M198" s="47"/>
      <c r="N198" s="47"/>
      <c r="O198" s="47"/>
      <c r="P198" s="47"/>
      <c r="Q198" s="47"/>
    </row>
    <row r="199" spans="1:17" s="4" customFormat="1" x14ac:dyDescent="0.2">
      <c r="A199" s="23"/>
      <c r="B199" s="24"/>
      <c r="C199" s="24"/>
      <c r="D199" s="24"/>
      <c r="E199" s="24"/>
      <c r="F199" s="24"/>
      <c r="G199" s="24"/>
      <c r="H199" s="24"/>
      <c r="I199" s="47"/>
      <c r="J199" s="59"/>
      <c r="K199" s="47"/>
      <c r="L199" s="47"/>
      <c r="M199" s="47"/>
      <c r="N199" s="47"/>
      <c r="O199" s="47"/>
      <c r="P199" s="47"/>
      <c r="Q199" s="47"/>
    </row>
    <row r="200" spans="1:17" s="4" customFormat="1" x14ac:dyDescent="0.2">
      <c r="A200" s="23"/>
      <c r="B200" s="24"/>
      <c r="C200" s="24"/>
      <c r="D200" s="24"/>
      <c r="E200" s="24"/>
      <c r="F200" s="24"/>
      <c r="G200" s="24"/>
      <c r="H200" s="24"/>
      <c r="I200" s="47"/>
      <c r="J200" s="59"/>
      <c r="K200" s="47"/>
      <c r="L200" s="47"/>
      <c r="M200" s="47"/>
      <c r="N200" s="47"/>
      <c r="O200" s="47"/>
      <c r="P200" s="47"/>
      <c r="Q200" s="47"/>
    </row>
    <row r="201" spans="1:17" s="4" customFormat="1" x14ac:dyDescent="0.2">
      <c r="A201" s="23"/>
      <c r="B201" s="24"/>
      <c r="C201" s="24"/>
      <c r="D201" s="24"/>
      <c r="E201" s="24"/>
      <c r="F201" s="24"/>
      <c r="G201" s="24"/>
      <c r="H201" s="24"/>
      <c r="I201" s="47"/>
      <c r="J201" s="59"/>
      <c r="K201" s="47"/>
      <c r="L201" s="47"/>
      <c r="M201" s="47"/>
      <c r="N201" s="47"/>
      <c r="O201" s="47"/>
      <c r="P201" s="47"/>
      <c r="Q201" s="47"/>
    </row>
    <row r="202" spans="1:17" s="4" customFormat="1" x14ac:dyDescent="0.2">
      <c r="A202" s="23"/>
      <c r="B202" s="24"/>
      <c r="C202" s="24"/>
      <c r="D202" s="24"/>
      <c r="E202" s="24"/>
      <c r="F202" s="24"/>
      <c r="G202" s="24"/>
      <c r="H202" s="24"/>
      <c r="I202" s="47"/>
      <c r="J202" s="59"/>
      <c r="K202" s="47"/>
      <c r="L202" s="47"/>
      <c r="M202" s="47"/>
      <c r="N202" s="47"/>
      <c r="O202" s="47"/>
      <c r="P202" s="47"/>
      <c r="Q202" s="47"/>
    </row>
    <row r="203" spans="1:17" s="4" customFormat="1" x14ac:dyDescent="0.2">
      <c r="A203" s="23"/>
      <c r="B203" s="24"/>
      <c r="C203" s="24"/>
      <c r="D203" s="24"/>
      <c r="E203" s="24"/>
      <c r="F203" s="24"/>
      <c r="G203" s="24"/>
      <c r="H203" s="24"/>
      <c r="I203" s="47"/>
      <c r="J203" s="59"/>
      <c r="K203" s="47"/>
      <c r="L203" s="47"/>
      <c r="M203" s="47"/>
      <c r="N203" s="47"/>
      <c r="O203" s="47"/>
      <c r="P203" s="47"/>
      <c r="Q203" s="47"/>
    </row>
    <row r="204" spans="1:17" s="4" customFormat="1" x14ac:dyDescent="0.2">
      <c r="A204" s="23"/>
      <c r="B204" s="24"/>
      <c r="C204" s="24"/>
      <c r="D204" s="24"/>
      <c r="E204" s="24"/>
      <c r="F204" s="24"/>
      <c r="G204" s="24"/>
      <c r="H204" s="24"/>
      <c r="I204" s="47"/>
      <c r="J204" s="59"/>
      <c r="K204" s="47"/>
      <c r="L204" s="47"/>
      <c r="M204" s="47"/>
      <c r="N204" s="47"/>
      <c r="O204" s="47"/>
      <c r="P204" s="47"/>
      <c r="Q204" s="47"/>
    </row>
    <row r="205" spans="1:17" s="4" customFormat="1" x14ac:dyDescent="0.2">
      <c r="A205" s="23"/>
      <c r="B205" s="24"/>
      <c r="C205" s="24"/>
      <c r="D205" s="24"/>
      <c r="E205" s="24"/>
      <c r="F205" s="24"/>
      <c r="G205" s="24"/>
      <c r="H205" s="24"/>
      <c r="I205" s="47"/>
      <c r="J205" s="59"/>
      <c r="K205" s="47"/>
      <c r="L205" s="47"/>
      <c r="M205" s="47"/>
      <c r="N205" s="47"/>
      <c r="O205" s="47"/>
      <c r="P205" s="47"/>
      <c r="Q205" s="47"/>
    </row>
    <row r="206" spans="1:17" s="4" customFormat="1" x14ac:dyDescent="0.2">
      <c r="A206" s="23"/>
      <c r="B206" s="24"/>
      <c r="I206" s="47"/>
      <c r="J206" s="59"/>
      <c r="K206" s="47"/>
      <c r="L206" s="47"/>
      <c r="M206" s="47"/>
      <c r="N206" s="47"/>
      <c r="O206" s="47"/>
      <c r="P206" s="47"/>
      <c r="Q206" s="47"/>
    </row>
    <row r="207" spans="1:17" s="47" customFormat="1" hidden="1" x14ac:dyDescent="0.2">
      <c r="A207" s="63" t="s">
        <v>59</v>
      </c>
      <c r="B207" s="61" t="s">
        <v>44</v>
      </c>
      <c r="C207" s="49" t="s">
        <v>45</v>
      </c>
      <c r="D207" s="49" t="s">
        <v>46</v>
      </c>
      <c r="E207" s="49" t="s">
        <v>47</v>
      </c>
      <c r="F207" s="49" t="s">
        <v>48</v>
      </c>
      <c r="G207" s="49" t="s">
        <v>49</v>
      </c>
      <c r="H207" s="49" t="s">
        <v>50</v>
      </c>
      <c r="J207" s="49" t="s">
        <v>51</v>
      </c>
      <c r="K207" s="49" t="s">
        <v>52</v>
      </c>
      <c r="L207" s="49" t="s">
        <v>53</v>
      </c>
      <c r="M207" s="49" t="s">
        <v>54</v>
      </c>
      <c r="N207" s="49" t="s">
        <v>55</v>
      </c>
      <c r="O207" s="49" t="s">
        <v>56</v>
      </c>
      <c r="P207" s="61" t="s">
        <v>43</v>
      </c>
    </row>
    <row r="208" spans="1:17" s="47" customFormat="1" hidden="1" x14ac:dyDescent="0.2">
      <c r="A208" s="61" t="s">
        <v>32</v>
      </c>
      <c r="B208" s="62">
        <f>0.45*LOG(V)+0.07</f>
        <v>1.1083732170609459</v>
      </c>
      <c r="C208" s="62">
        <f>Sollwert*1.45</f>
        <v>1.6071411647383715</v>
      </c>
      <c r="D208" s="62">
        <f t="shared" ref="D208:H212" si="72">Sollwert*1.2</f>
        <v>1.3300478604731352</v>
      </c>
      <c r="E208" s="62">
        <f t="shared" si="72"/>
        <v>1.3300478604731352</v>
      </c>
      <c r="F208" s="62">
        <f t="shared" si="72"/>
        <v>1.3300478604731352</v>
      </c>
      <c r="G208" s="62">
        <f t="shared" si="72"/>
        <v>1.3300478604731352</v>
      </c>
      <c r="H208" s="62">
        <f t="shared" si="72"/>
        <v>1.3300478604731352</v>
      </c>
      <c r="J208" s="62">
        <f>Sollwert*0.65</f>
        <v>0.72044259108961484</v>
      </c>
      <c r="K208" s="62">
        <f t="shared" ref="K208:N212" si="73">Sollwert*0.8</f>
        <v>0.88669857364875682</v>
      </c>
      <c r="L208" s="62">
        <f t="shared" si="73"/>
        <v>0.88669857364875682</v>
      </c>
      <c r="M208" s="62">
        <f t="shared" si="73"/>
        <v>0.88669857364875682</v>
      </c>
      <c r="N208" s="62">
        <f t="shared" si="73"/>
        <v>0.88669857364875682</v>
      </c>
      <c r="O208" s="62">
        <f>Sollwert*0.65</f>
        <v>0.72044259108961484</v>
      </c>
      <c r="P208" s="57">
        <v>0</v>
      </c>
    </row>
    <row r="209" spans="1:16" s="47" customFormat="1" hidden="1" x14ac:dyDescent="0.2">
      <c r="A209" s="61" t="s">
        <v>33</v>
      </c>
      <c r="B209" s="62">
        <f>0.37*LOG(V)-0.14</f>
        <v>0.71377353402788879</v>
      </c>
      <c r="C209" s="62">
        <f>Sollwert*1.45</f>
        <v>1.0349716243404388</v>
      </c>
      <c r="D209" s="62">
        <f t="shared" si="72"/>
        <v>0.85652824083346657</v>
      </c>
      <c r="E209" s="62">
        <f t="shared" si="72"/>
        <v>0.85652824083346657</v>
      </c>
      <c r="F209" s="62">
        <f t="shared" si="72"/>
        <v>0.85652824083346657</v>
      </c>
      <c r="G209" s="62">
        <f t="shared" si="72"/>
        <v>0.85652824083346657</v>
      </c>
      <c r="H209" s="62">
        <f t="shared" si="72"/>
        <v>0.85652824083346657</v>
      </c>
      <c r="J209" s="62">
        <f>Sollwert*0.65</f>
        <v>0.4639527971181277</v>
      </c>
      <c r="K209" s="62">
        <f t="shared" si="73"/>
        <v>0.57101882722231101</v>
      </c>
      <c r="L209" s="62">
        <f t="shared" si="73"/>
        <v>0.57101882722231101</v>
      </c>
      <c r="M209" s="62">
        <f t="shared" si="73"/>
        <v>0.57101882722231101</v>
      </c>
      <c r="N209" s="62">
        <f t="shared" si="73"/>
        <v>0.57101882722231101</v>
      </c>
      <c r="O209" s="62">
        <f>Sollwert*0.65</f>
        <v>0.4639527971181277</v>
      </c>
      <c r="P209" s="57">
        <f>P216</f>
        <v>0.18872743807544209</v>
      </c>
    </row>
    <row r="210" spans="1:16" s="47" customFormat="1" hidden="1" x14ac:dyDescent="0.2">
      <c r="A210" s="61" t="s">
        <v>34</v>
      </c>
      <c r="B210" s="62">
        <f>0.32*LOG(V)-0.17</f>
        <v>0.56839873213222813</v>
      </c>
      <c r="C210" s="62">
        <f>Sollwert*1.45</f>
        <v>0.82417816159173074</v>
      </c>
      <c r="D210" s="62">
        <f t="shared" si="72"/>
        <v>0.68207847855867376</v>
      </c>
      <c r="E210" s="62">
        <f t="shared" si="72"/>
        <v>0.68207847855867376</v>
      </c>
      <c r="F210" s="62">
        <f t="shared" si="72"/>
        <v>0.68207847855867376</v>
      </c>
      <c r="G210" s="62">
        <f t="shared" si="72"/>
        <v>0.68207847855867376</v>
      </c>
      <c r="H210" s="62">
        <f t="shared" si="72"/>
        <v>0.68207847855867376</v>
      </c>
      <c r="J210" s="62">
        <f>Sollwert*0.65</f>
        <v>0.36945917588594829</v>
      </c>
      <c r="K210" s="62">
        <f t="shared" si="73"/>
        <v>0.45471898570578251</v>
      </c>
      <c r="L210" s="62">
        <f t="shared" si="73"/>
        <v>0.45471898570578251</v>
      </c>
      <c r="M210" s="62">
        <f t="shared" si="73"/>
        <v>0.45471898570578251</v>
      </c>
      <c r="N210" s="62">
        <f t="shared" si="73"/>
        <v>0.45471898570578251</v>
      </c>
      <c r="O210" s="62">
        <f>Sollwert*0.65</f>
        <v>0.36945917588594829</v>
      </c>
      <c r="P210" s="57">
        <f>P217</f>
        <v>0.23263135835351015</v>
      </c>
    </row>
    <row r="211" spans="1:16" s="47" customFormat="1" hidden="1" x14ac:dyDescent="0.2">
      <c r="A211" s="61" t="s">
        <v>35</v>
      </c>
      <c r="B211" s="62">
        <f>0.26*LOG(V)-0.14</f>
        <v>0.45994896985743539</v>
      </c>
      <c r="C211" s="62">
        <f>Sollwert*1.45</f>
        <v>0.66692600629328125</v>
      </c>
      <c r="D211" s="62">
        <f t="shared" si="72"/>
        <v>0.55193876382892249</v>
      </c>
      <c r="E211" s="62">
        <f t="shared" si="72"/>
        <v>0.55193876382892249</v>
      </c>
      <c r="F211" s="62">
        <f t="shared" si="72"/>
        <v>0.55193876382892249</v>
      </c>
      <c r="G211" s="62">
        <f t="shared" si="72"/>
        <v>0.55193876382892249</v>
      </c>
      <c r="H211" s="62">
        <f t="shared" si="72"/>
        <v>0.55193876382892249</v>
      </c>
      <c r="J211" s="62">
        <f>Sollwert*0.65</f>
        <v>0.29896683040733302</v>
      </c>
      <c r="K211" s="62">
        <f t="shared" si="73"/>
        <v>0.36795917588594834</v>
      </c>
      <c r="L211" s="62">
        <f t="shared" si="73"/>
        <v>0.36795917588594834</v>
      </c>
      <c r="M211" s="62">
        <f t="shared" si="73"/>
        <v>0.36795917588594834</v>
      </c>
      <c r="N211" s="62">
        <f t="shared" si="73"/>
        <v>0.36795917588594834</v>
      </c>
      <c r="O211" s="62">
        <f>Sollwert*0.65</f>
        <v>0.29896683040733302</v>
      </c>
      <c r="P211" s="57">
        <f>P218</f>
        <v>0.27482745843236661</v>
      </c>
    </row>
    <row r="212" spans="1:16" s="47" customFormat="1" hidden="1" x14ac:dyDescent="0.2">
      <c r="A212" s="61" t="s">
        <v>36</v>
      </c>
      <c r="B212" s="62">
        <f>0.75*LOG(V)-1</f>
        <v>0.73062202843490986</v>
      </c>
      <c r="C212" s="62">
        <f>Sollwert*1.2</f>
        <v>0.87674643412189179</v>
      </c>
      <c r="D212" s="62">
        <f t="shared" si="72"/>
        <v>0.87674643412189179</v>
      </c>
      <c r="E212" s="62">
        <f t="shared" si="72"/>
        <v>0.87674643412189179</v>
      </c>
      <c r="F212" s="62">
        <f t="shared" si="72"/>
        <v>0.87674643412189179</v>
      </c>
      <c r="G212" s="62">
        <f t="shared" si="72"/>
        <v>0.87674643412189179</v>
      </c>
      <c r="H212" s="62">
        <f t="shared" si="72"/>
        <v>0.87674643412189179</v>
      </c>
      <c r="J212" s="62">
        <f>Sollwert*0.8</f>
        <v>0.58449762274792794</v>
      </c>
      <c r="K212" s="62">
        <f t="shared" si="73"/>
        <v>0.58449762274792794</v>
      </c>
      <c r="L212" s="62">
        <f t="shared" si="73"/>
        <v>0.58449762274792794</v>
      </c>
      <c r="M212" s="62">
        <f t="shared" si="73"/>
        <v>0.58449762274792794</v>
      </c>
      <c r="N212" s="62">
        <f t="shared" si="73"/>
        <v>0.58449762274792794</v>
      </c>
      <c r="O212" s="62">
        <f>Sollwert*0.8</f>
        <v>0.58449762274792794</v>
      </c>
      <c r="P212" s="57">
        <f>P215</f>
        <v>0.14349988684230813</v>
      </c>
    </row>
    <row r="213" spans="1:16" s="47" customFormat="1" hidden="1" x14ac:dyDescent="0.2">
      <c r="A213" s="61"/>
      <c r="C213" s="57"/>
      <c r="D213" s="57"/>
      <c r="E213" s="57"/>
      <c r="F213" s="57"/>
      <c r="G213" s="57"/>
      <c r="H213" s="57"/>
    </row>
    <row r="214" spans="1:16" s="47" customFormat="1" hidden="1" x14ac:dyDescent="0.2">
      <c r="A214" s="61" t="s">
        <v>37</v>
      </c>
      <c r="B214" s="57">
        <v>0</v>
      </c>
      <c r="C214" s="62">
        <v>0</v>
      </c>
      <c r="D214" s="62">
        <v>0</v>
      </c>
      <c r="E214" s="62">
        <v>0</v>
      </c>
      <c r="F214" s="62">
        <v>0</v>
      </c>
      <c r="G214" s="62">
        <v>0</v>
      </c>
      <c r="H214" s="62">
        <v>0</v>
      </c>
      <c r="I214" s="57"/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</row>
    <row r="215" spans="1:16" s="47" customFormat="1" hidden="1" x14ac:dyDescent="0.2">
      <c r="A215" s="61" t="s">
        <v>38</v>
      </c>
      <c r="B215" s="57">
        <f t="array" ref="B215:O215">B212:O212</f>
        <v>0.73062202843490986</v>
      </c>
      <c r="C215" s="62">
        <v>0.87674643412189179</v>
      </c>
      <c r="D215" s="62">
        <v>0.87674643412189179</v>
      </c>
      <c r="E215" s="62">
        <v>0.87674643412189179</v>
      </c>
      <c r="F215" s="62">
        <v>0.87674643412189179</v>
      </c>
      <c r="G215" s="62">
        <v>0.87674643412189179</v>
      </c>
      <c r="H215" s="62">
        <v>0.87674643412189179</v>
      </c>
      <c r="I215" s="57">
        <v>0</v>
      </c>
      <c r="J215" s="57">
        <v>0.58449762274792794</v>
      </c>
      <c r="K215" s="57">
        <v>0.58449762274792794</v>
      </c>
      <c r="L215" s="57">
        <v>0.58449762274792794</v>
      </c>
      <c r="M215" s="57">
        <v>0.58449762274792794</v>
      </c>
      <c r="N215" s="57">
        <v>0.58449762274792794</v>
      </c>
      <c r="O215" s="57">
        <v>0.58449762274792794</v>
      </c>
      <c r="P215" s="62">
        <f>IF(h&lt;=2.5,0.15,(4.8+4.69*LOG(h))^-1)</f>
        <v>0.14349988684230813</v>
      </c>
    </row>
    <row r="216" spans="1:16" s="47" customFormat="1" hidden="1" x14ac:dyDescent="0.2">
      <c r="A216" s="61" t="s">
        <v>39</v>
      </c>
      <c r="B216" s="57">
        <f t="array" ref="B216:O216">B209:O209</f>
        <v>0.71377353402788879</v>
      </c>
      <c r="C216" s="62">
        <v>1.0349716243404388</v>
      </c>
      <c r="D216" s="62">
        <v>0.85652824083346657</v>
      </c>
      <c r="E216" s="62">
        <v>0.85652824083346657</v>
      </c>
      <c r="F216" s="62">
        <v>0.85652824083346657</v>
      </c>
      <c r="G216" s="62">
        <v>0.85652824083346657</v>
      </c>
      <c r="H216" s="62">
        <v>0.85652824083346657</v>
      </c>
      <c r="I216" s="57">
        <v>0</v>
      </c>
      <c r="J216" s="57">
        <v>0.4639527971181277</v>
      </c>
      <c r="K216" s="57">
        <v>0.57101882722231101</v>
      </c>
      <c r="L216" s="57">
        <v>0.57101882722231101</v>
      </c>
      <c r="M216" s="57">
        <v>0.57101882722231101</v>
      </c>
      <c r="N216" s="57">
        <v>0.57101882722231101</v>
      </c>
      <c r="O216" s="57">
        <v>0.4639527971181277</v>
      </c>
      <c r="P216" s="62">
        <f>IF(h&lt;=2.5,0.2,(3.13+4.69*LOG(h))^-1)</f>
        <v>0.18872743807544209</v>
      </c>
    </row>
    <row r="217" spans="1:16" s="47" customFormat="1" hidden="1" x14ac:dyDescent="0.2">
      <c r="A217" s="61" t="s">
        <v>40</v>
      </c>
      <c r="B217" s="57">
        <f t="array" ref="B217:O217">B210:O210</f>
        <v>0.56839873213222813</v>
      </c>
      <c r="C217" s="62">
        <v>0.82417816159173074</v>
      </c>
      <c r="D217" s="62">
        <v>0.68207847855867376</v>
      </c>
      <c r="E217" s="62">
        <v>0.68207847855867376</v>
      </c>
      <c r="F217" s="62">
        <v>0.68207847855867376</v>
      </c>
      <c r="G217" s="62">
        <v>0.68207847855867376</v>
      </c>
      <c r="H217" s="62">
        <v>0.68207847855867376</v>
      </c>
      <c r="I217" s="57">
        <v>0</v>
      </c>
      <c r="J217" s="57">
        <v>0.36945917588594829</v>
      </c>
      <c r="K217" s="57">
        <v>0.45471898570578251</v>
      </c>
      <c r="L217" s="57">
        <v>0.45471898570578251</v>
      </c>
      <c r="M217" s="57">
        <v>0.45471898570578251</v>
      </c>
      <c r="N217" s="57">
        <v>0.45471898570578251</v>
      </c>
      <c r="O217" s="57">
        <v>0.36945917588594829</v>
      </c>
      <c r="P217" s="62">
        <f>IF(h&lt;=2.5,0.25,(2.13+4.69*LOG(h))^-1)</f>
        <v>0.23263135835351015</v>
      </c>
    </row>
    <row r="218" spans="1:16" s="47" customFormat="1" ht="25.5" hidden="1" x14ac:dyDescent="0.2">
      <c r="A218" s="64" t="s">
        <v>41</v>
      </c>
      <c r="B218" s="57">
        <f t="array" ref="B218:O218">B211:O211</f>
        <v>0.45994896985743539</v>
      </c>
      <c r="C218" s="62">
        <v>0.66692600629328125</v>
      </c>
      <c r="D218" s="62">
        <v>0.55193876382892249</v>
      </c>
      <c r="E218" s="62">
        <v>0.55193876382892249</v>
      </c>
      <c r="F218" s="62">
        <v>0.55193876382892249</v>
      </c>
      <c r="G218" s="62">
        <v>0.55193876382892249</v>
      </c>
      <c r="H218" s="62">
        <v>0.55193876382892249</v>
      </c>
      <c r="I218" s="57">
        <v>0</v>
      </c>
      <c r="J218" s="57">
        <v>0.29896683040733302</v>
      </c>
      <c r="K218" s="57">
        <v>0.36795917588594834</v>
      </c>
      <c r="L218" s="57">
        <v>0.36795917588594834</v>
      </c>
      <c r="M218" s="57">
        <v>0.36795917588594834</v>
      </c>
      <c r="N218" s="57">
        <v>0.36795917588594834</v>
      </c>
      <c r="O218" s="57">
        <v>0.29896683040733302</v>
      </c>
      <c r="P218" s="62">
        <f>IF(h&lt;=2.5,0.3,(1.47+4.69*LOG(h))^-1)</f>
        <v>0.27482745843236661</v>
      </c>
    </row>
  </sheetData>
  <sheetProtection algorithmName="SHA-512" hashValue="yBGX4KgnNeAZMPUbwKHl3hcStkZAyqg8XPLtQvSF9TgHaH/S4HWWmtRVsXa/RIhU8Fc0HtSU7DI4sYOblj4//w==" saltValue="MTg8+r4sSyX6HieoDpuZDQ==" spinCount="100000" sheet="1" objects="1" scenarios="1" selectLockedCells="1"/>
  <mergeCells count="5">
    <mergeCell ref="C1:H1"/>
    <mergeCell ref="A2:H2"/>
    <mergeCell ref="A3:H3"/>
    <mergeCell ref="C9:H9"/>
    <mergeCell ref="J9:O9"/>
  </mergeCells>
  <conditionalFormatting sqref="B30 B24 B16 B34">
    <cfRule type="cellIs" dxfId="1" priority="4" stopIfTrue="1" operator="lessThan">
      <formula>0</formula>
    </cfRule>
  </conditionalFormatting>
  <dataValidations count="2">
    <dataValidation type="list" allowBlank="1" showInputMessage="1" showErrorMessage="1" sqref="A5">
      <formula1>$A$208:$A$218</formula1>
    </dataValidation>
    <dataValidation type="list" allowBlank="1" showInputMessage="1" showErrorMessage="1" sqref="A26:A29 A13:A15 A48:A60 A66:A68 A36:A42 A74:A75 A18:A23">
      <formula1>OFFSET(Material,1,0,ROWS(Material)-1,1)</formula1>
    </dataValidation>
  </dataValidations>
  <hyperlinks>
    <hyperlink ref="A131" r:id="rId1"/>
    <hyperlink ref="C1:H1" r:id="rId2" display="http://www.vital-office.de/"/>
  </hyperlinks>
  <pageMargins left="0.78740157480314965" right="0.23622047244094491" top="0.74803149606299213" bottom="0.74803149606299213" header="0.31496062992125984" footer="0.31496062992125984"/>
  <pageSetup paperSize="9" scale="93" fitToHeight="0" orientation="portrait" r:id="rId3"/>
  <headerFooter alignWithMargins="0">
    <oddFooter>&amp;L&amp;10(c) www-Vital-Office.net |  &amp;F &amp;A &amp;D &amp;T&amp;R&amp;10&amp;P/&amp;N</oddFooter>
  </headerFooter>
  <rowBreaks count="3" manualBreakCount="3">
    <brk id="45" max="7" man="1"/>
    <brk id="79" max="7" man="1"/>
    <brk id="128" max="7" man="1"/>
  </row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8"/>
  <sheetViews>
    <sheetView showGridLines="0" zoomScaleNormal="100" zoomScaleSheetLayoutView="100" workbookViewId="0">
      <selection activeCell="A139" sqref="A139"/>
    </sheetView>
  </sheetViews>
  <sheetFormatPr baseColWidth="10" defaultRowHeight="12.75" x14ac:dyDescent="0.2"/>
  <cols>
    <col min="1" max="1" width="40.109375" style="3" customWidth="1"/>
    <col min="2" max="2" width="8.77734375" style="3" customWidth="1"/>
    <col min="3" max="8" width="5.6640625" style="3" customWidth="1"/>
    <col min="9" max="9" width="2.109375" style="44" customWidth="1"/>
    <col min="10" max="15" width="5.6640625" style="44" hidden="1" customWidth="1"/>
    <col min="16" max="16" width="9.88671875" style="44" hidden="1" customWidth="1"/>
    <col min="17" max="17" width="6.109375" style="44" hidden="1" customWidth="1"/>
    <col min="18" max="18" width="11.5546875" style="3" hidden="1" customWidth="1"/>
    <col min="19" max="16384" width="11.5546875" style="3"/>
  </cols>
  <sheetData>
    <row r="1" spans="1:17" ht="30" customHeight="1" x14ac:dyDescent="0.2">
      <c r="A1" s="25" t="s">
        <v>62</v>
      </c>
      <c r="B1" s="2"/>
      <c r="C1" s="127" t="s">
        <v>133</v>
      </c>
      <c r="D1" s="127"/>
      <c r="E1" s="127"/>
      <c r="F1" s="127"/>
      <c r="G1" s="127"/>
      <c r="H1" s="127"/>
    </row>
    <row r="2" spans="1:17" ht="25.5" customHeight="1" x14ac:dyDescent="0.2">
      <c r="A2" s="128" t="s">
        <v>130</v>
      </c>
      <c r="B2" s="129"/>
      <c r="C2" s="129"/>
      <c r="D2" s="129"/>
      <c r="E2" s="129"/>
      <c r="F2" s="129"/>
      <c r="G2" s="129"/>
      <c r="H2" s="130"/>
      <c r="J2" s="45"/>
    </row>
    <row r="3" spans="1:17" ht="25.5" customHeight="1" x14ac:dyDescent="0.2">
      <c r="A3" s="131" t="s">
        <v>134</v>
      </c>
      <c r="B3" s="132"/>
      <c r="C3" s="132"/>
      <c r="D3" s="132"/>
      <c r="E3" s="132"/>
      <c r="F3" s="132"/>
      <c r="G3" s="132"/>
      <c r="H3" s="133"/>
    </row>
    <row r="4" spans="1:17" ht="15.75" x14ac:dyDescent="0.2">
      <c r="A4" s="28" t="s">
        <v>61</v>
      </c>
      <c r="B4" s="30" t="s">
        <v>125</v>
      </c>
      <c r="C4" s="32" t="s">
        <v>126</v>
      </c>
      <c r="D4" s="32" t="s">
        <v>127</v>
      </c>
      <c r="E4" s="33"/>
      <c r="F4" s="34" t="s">
        <v>128</v>
      </c>
      <c r="G4" s="37"/>
      <c r="H4" s="38" t="s">
        <v>129</v>
      </c>
    </row>
    <row r="5" spans="1:17" x14ac:dyDescent="0.2">
      <c r="A5" s="29" t="s">
        <v>34</v>
      </c>
      <c r="B5" s="31">
        <v>8.9969999999999999</v>
      </c>
      <c r="C5" s="31">
        <v>5.9219999999999997</v>
      </c>
      <c r="D5" s="31">
        <v>3.28</v>
      </c>
      <c r="E5" s="35"/>
      <c r="F5" s="36">
        <f>l*b*h</f>
        <v>174.75916751999998</v>
      </c>
      <c r="G5" s="35"/>
      <c r="H5" s="36">
        <f>2*(l*b+b*h+l*h)</f>
        <v>204.42910799999999</v>
      </c>
      <c r="N5" s="46"/>
    </row>
    <row r="6" spans="1:17" s="4" customFormat="1" x14ac:dyDescent="0.2">
      <c r="A6" s="4" t="s">
        <v>131</v>
      </c>
      <c r="B6" s="24">
        <f>VLOOKUP(Nutzungsart,Nutzungsarten,2)</f>
        <v>0.54758078951812761</v>
      </c>
      <c r="C6" s="17">
        <f>VLOOKUP(Nutzungsart,Nutzungsarten,3)</f>
        <v>0.79399214480128499</v>
      </c>
      <c r="D6" s="17">
        <f>VLOOKUP(Nutzungsart,Nutzungsarten,4)</f>
        <v>0.65709694742175306</v>
      </c>
      <c r="E6" s="17">
        <f>VLOOKUP(Nutzungsart,Nutzungsarten,5)</f>
        <v>0.65709694742175306</v>
      </c>
      <c r="F6" s="17">
        <f>VLOOKUP(Nutzungsart,Nutzungsarten,6)</f>
        <v>0.65709694742175306</v>
      </c>
      <c r="G6" s="17">
        <f>VLOOKUP(Nutzungsart,Nutzungsarten,7)</f>
        <v>0.65709694742175306</v>
      </c>
      <c r="H6" s="17">
        <f>VLOOKUP(Nutzungsart,Nutzungsarten,8)</f>
        <v>0.65709694742175306</v>
      </c>
      <c r="I6" s="47"/>
      <c r="J6" s="47"/>
      <c r="K6" s="47"/>
      <c r="L6" s="47"/>
      <c r="M6" s="47"/>
      <c r="N6" s="47"/>
      <c r="O6" s="47"/>
      <c r="P6" s="47"/>
      <c r="Q6" s="47"/>
    </row>
    <row r="7" spans="1:17" s="4" customFormat="1" x14ac:dyDescent="0.2">
      <c r="A7" s="4" t="s">
        <v>132</v>
      </c>
      <c r="B7" s="24">
        <f>VLOOKUP(Nutzungsart,Nutzungsarten,16)</f>
        <v>0.21980687066242854</v>
      </c>
      <c r="C7" s="17">
        <f>VLOOKUP(Nutzungsart,Nutzungsarten,10)</f>
        <v>0.35592751318678295</v>
      </c>
      <c r="D7" s="17">
        <f>VLOOKUP(Nutzungsart,Nutzungsarten,11)</f>
        <v>0.4380646316145021</v>
      </c>
      <c r="E7" s="17">
        <f>VLOOKUP(Nutzungsart,Nutzungsarten,12)</f>
        <v>0.4380646316145021</v>
      </c>
      <c r="F7" s="17">
        <f>VLOOKUP(Nutzungsart,Nutzungsarten,13)</f>
        <v>0.4380646316145021</v>
      </c>
      <c r="G7" s="17">
        <f>VLOOKUP(Nutzungsart,Nutzungsarten,14)</f>
        <v>0.4380646316145021</v>
      </c>
      <c r="H7" s="17">
        <f>VLOOKUP(Nutzungsart,Nutzungsarten,15)</f>
        <v>0.35592751318678295</v>
      </c>
      <c r="I7" s="47"/>
      <c r="J7" s="47"/>
      <c r="K7" s="47"/>
      <c r="L7" s="47"/>
      <c r="M7" s="47"/>
      <c r="N7" s="47"/>
      <c r="O7" s="47"/>
      <c r="P7" s="47"/>
      <c r="Q7" s="47"/>
    </row>
    <row r="8" spans="1:17" x14ac:dyDescent="0.2">
      <c r="J8" s="48"/>
      <c r="N8" s="49"/>
    </row>
    <row r="9" spans="1:17" ht="14.25" x14ac:dyDescent="0.2">
      <c r="A9" s="5" t="s">
        <v>8</v>
      </c>
      <c r="B9" s="6" t="s">
        <v>23</v>
      </c>
      <c r="C9" s="134" t="s">
        <v>21</v>
      </c>
      <c r="D9" s="135"/>
      <c r="E9" s="135"/>
      <c r="F9" s="135"/>
      <c r="G9" s="135"/>
      <c r="H9" s="136"/>
      <c r="J9" s="137" t="s">
        <v>22</v>
      </c>
      <c r="K9" s="138"/>
      <c r="L9" s="138"/>
      <c r="M9" s="138"/>
      <c r="N9" s="138"/>
      <c r="O9" s="139"/>
    </row>
    <row r="10" spans="1:17" x14ac:dyDescent="0.2">
      <c r="A10" s="7"/>
      <c r="B10" s="8"/>
      <c r="C10" s="9" t="s">
        <v>1</v>
      </c>
      <c r="D10" s="10" t="s">
        <v>2</v>
      </c>
      <c r="E10" s="10" t="s">
        <v>3</v>
      </c>
      <c r="F10" s="10" t="s">
        <v>4</v>
      </c>
      <c r="G10" s="10" t="s">
        <v>5</v>
      </c>
      <c r="H10" s="11" t="s">
        <v>6</v>
      </c>
      <c r="J10" s="50" t="s">
        <v>1</v>
      </c>
      <c r="K10" s="51" t="s">
        <v>2</v>
      </c>
      <c r="L10" s="51" t="s">
        <v>3</v>
      </c>
      <c r="M10" s="51" t="s">
        <v>4</v>
      </c>
      <c r="N10" s="51" t="s">
        <v>5</v>
      </c>
      <c r="O10" s="52" t="s">
        <v>6</v>
      </c>
    </row>
    <row r="12" spans="1:17" ht="15.75" x14ac:dyDescent="0.2">
      <c r="A12" s="12" t="s">
        <v>7</v>
      </c>
      <c r="B12" s="13">
        <f>l*b</f>
        <v>53.280234</v>
      </c>
      <c r="C12" s="13"/>
      <c r="D12" s="13"/>
      <c r="E12" s="13"/>
      <c r="F12" s="13"/>
      <c r="G12" s="13"/>
      <c r="H12" s="13"/>
      <c r="J12" s="53"/>
      <c r="K12" s="53"/>
      <c r="L12" s="53"/>
      <c r="M12" s="53"/>
      <c r="N12" s="53"/>
      <c r="O12" s="53"/>
    </row>
    <row r="13" spans="1:17" x14ac:dyDescent="0.2">
      <c r="A13" s="14" t="s">
        <v>91</v>
      </c>
      <c r="B13" s="15">
        <f>B12</f>
        <v>53.280234</v>
      </c>
      <c r="C13" s="13">
        <f ca="1">IF(ISTEXT($A13),VLOOKUP($A13,Material,2,FALSE),"")</f>
        <v>0.02</v>
      </c>
      <c r="D13" s="13">
        <f ca="1">IF(ISTEXT($A13),VLOOKUP($A13,Material,3,FALSE),"")</f>
        <v>0.03</v>
      </c>
      <c r="E13" s="13">
        <f ca="1">IF(ISTEXT($A13),VLOOKUP($A13,Material,4,FALSE),"")</f>
        <v>0.04</v>
      </c>
      <c r="F13" s="13">
        <f ca="1">IF(ISTEXT($A13),VLOOKUP($A13,Material,5,FALSE),"")</f>
        <v>0.05</v>
      </c>
      <c r="G13" s="13">
        <f ca="1">IF(ISTEXT($A13),VLOOKUP($A13,Material,6,FALSE),"")</f>
        <v>7.0000000000000007E-2</v>
      </c>
      <c r="H13" s="13">
        <f ca="1">IF(ISTEXT($A13),VLOOKUP($A13,Material,7,FALSE),"")</f>
        <v>0.08</v>
      </c>
      <c r="J13" s="54">
        <f t="shared" ref="J13:O15" ca="1" si="0">IF(ISNUMBER(C13),$B13*C13,"")</f>
        <v>1.0656046800000001</v>
      </c>
      <c r="K13" s="54">
        <f t="shared" ca="1" si="0"/>
        <v>1.59840702</v>
      </c>
      <c r="L13" s="54">
        <f t="shared" ca="1" si="0"/>
        <v>2.1312093600000002</v>
      </c>
      <c r="M13" s="54">
        <f t="shared" ca="1" si="0"/>
        <v>2.6640117000000001</v>
      </c>
      <c r="N13" s="54">
        <f t="shared" ca="1" si="0"/>
        <v>3.7296163800000004</v>
      </c>
      <c r="O13" s="54">
        <f t="shared" ca="1" si="0"/>
        <v>4.2624187200000003</v>
      </c>
    </row>
    <row r="14" spans="1:17" ht="12.75" customHeight="1" x14ac:dyDescent="0.2">
      <c r="A14" s="14"/>
      <c r="B14" s="15"/>
      <c r="C14" s="13" t="str">
        <f>IF(ISTEXT($A14),VLOOKUP($A14,Material,2,FALSE),"")</f>
        <v/>
      </c>
      <c r="D14" s="13" t="str">
        <f>IF(ISTEXT($A14),VLOOKUP($A14,Material,3,FALSE),"")</f>
        <v/>
      </c>
      <c r="E14" s="13" t="str">
        <f>IF(ISTEXT($A14),VLOOKUP($A14,Material,4,FALSE),"")</f>
        <v/>
      </c>
      <c r="F14" s="13" t="str">
        <f>IF(ISTEXT($A14),VLOOKUP($A14,Material,5,FALSE),"")</f>
        <v/>
      </c>
      <c r="G14" s="13" t="str">
        <f>IF(ISTEXT($A14),VLOOKUP($A14,Material,6,FALSE),"")</f>
        <v/>
      </c>
      <c r="H14" s="13" t="str">
        <f>IF(ISTEXT($A14),VLOOKUP($A14,Material,7,FALSE),"")</f>
        <v/>
      </c>
      <c r="J14" s="54" t="str">
        <f t="shared" si="0"/>
        <v/>
      </c>
      <c r="K14" s="54" t="str">
        <f t="shared" si="0"/>
        <v/>
      </c>
      <c r="L14" s="54" t="str">
        <f t="shared" si="0"/>
        <v/>
      </c>
      <c r="M14" s="54" t="str">
        <f t="shared" si="0"/>
        <v/>
      </c>
      <c r="N14" s="54" t="str">
        <f t="shared" si="0"/>
        <v/>
      </c>
      <c r="O14" s="54" t="str">
        <f t="shared" si="0"/>
        <v/>
      </c>
    </row>
    <row r="15" spans="1:17" ht="12.75" customHeight="1" x14ac:dyDescent="0.2">
      <c r="A15" s="14"/>
      <c r="B15" s="15"/>
      <c r="C15" s="13" t="str">
        <f>IF(ISTEXT($A15),VLOOKUP($A15,Material,2,FALSE),"")</f>
        <v/>
      </c>
      <c r="D15" s="13" t="str">
        <f>IF(ISTEXT($A15),VLOOKUP($A15,Material,3,FALSE),"")</f>
        <v/>
      </c>
      <c r="E15" s="13" t="str">
        <f>IF(ISTEXT($A15),VLOOKUP($A15,Material,4,FALSE),"")</f>
        <v/>
      </c>
      <c r="F15" s="13" t="str">
        <f>IF(ISTEXT($A15),VLOOKUP($A15,Material,5,FALSE),"")</f>
        <v/>
      </c>
      <c r="G15" s="13" t="str">
        <f>IF(ISTEXT($A15),VLOOKUP($A15,Material,6,FALSE),"")</f>
        <v/>
      </c>
      <c r="H15" s="13" t="str">
        <f>IF(ISTEXT($A15),VLOOKUP($A15,Material,7,FALSE),"")</f>
        <v/>
      </c>
      <c r="J15" s="54" t="str">
        <f t="shared" si="0"/>
        <v/>
      </c>
      <c r="K15" s="54" t="str">
        <f t="shared" si="0"/>
        <v/>
      </c>
      <c r="L15" s="54" t="str">
        <f t="shared" si="0"/>
        <v/>
      </c>
      <c r="M15" s="54" t="str">
        <f t="shared" si="0"/>
        <v/>
      </c>
      <c r="N15" s="54" t="str">
        <f t="shared" si="0"/>
        <v/>
      </c>
      <c r="O15" s="54" t="str">
        <f t="shared" si="0"/>
        <v/>
      </c>
    </row>
    <row r="16" spans="1:17" x14ac:dyDescent="0.2">
      <c r="A16" s="27" t="s">
        <v>11</v>
      </c>
      <c r="B16" s="26">
        <f>B12-SUM(B13:B15)</f>
        <v>0</v>
      </c>
      <c r="C16" s="13"/>
      <c r="D16" s="13"/>
      <c r="E16" s="13"/>
      <c r="F16" s="13"/>
      <c r="G16" s="13"/>
      <c r="H16" s="13"/>
      <c r="J16" s="54"/>
      <c r="K16" s="54"/>
      <c r="L16" s="54"/>
      <c r="M16" s="54"/>
      <c r="N16" s="54"/>
      <c r="O16" s="54"/>
    </row>
    <row r="17" spans="1:17" ht="15.75" x14ac:dyDescent="0.2">
      <c r="A17" s="12" t="s">
        <v>9</v>
      </c>
      <c r="B17" s="13">
        <f>2*b*h + 2*l*h</f>
        <v>97.868639999999999</v>
      </c>
      <c r="C17" s="13"/>
      <c r="D17" s="13"/>
      <c r="E17" s="13"/>
      <c r="F17" s="13"/>
      <c r="G17" s="13"/>
      <c r="H17" s="13"/>
      <c r="J17" s="54"/>
      <c r="K17" s="54"/>
      <c r="L17" s="54"/>
      <c r="M17" s="54"/>
      <c r="N17" s="54"/>
      <c r="O17" s="54"/>
    </row>
    <row r="18" spans="1:17" x14ac:dyDescent="0.2">
      <c r="A18" s="14" t="s">
        <v>91</v>
      </c>
      <c r="B18" s="15">
        <f>B17-(SUM(B19:B21))</f>
        <v>83.788640000000001</v>
      </c>
      <c r="C18" s="13">
        <f t="shared" ref="C18:C23" ca="1" si="1">IF(ISTEXT($A18),VLOOKUP($A18,Material,2,FALSE),"")</f>
        <v>0.02</v>
      </c>
      <c r="D18" s="13">
        <f t="shared" ref="D18:D23" ca="1" si="2">IF(ISTEXT($A18),VLOOKUP($A18,Material,3,FALSE),"")</f>
        <v>0.03</v>
      </c>
      <c r="E18" s="13">
        <f t="shared" ref="E18:E23" ca="1" si="3">IF(ISTEXT($A18),VLOOKUP($A18,Material,4,FALSE),"")</f>
        <v>0.04</v>
      </c>
      <c r="F18" s="13">
        <f t="shared" ref="F18:F23" ca="1" si="4">IF(ISTEXT($A18),VLOOKUP($A18,Material,5,FALSE),"")</f>
        <v>0.05</v>
      </c>
      <c r="G18" s="13">
        <f t="shared" ref="G18:G23" ca="1" si="5">IF(ISTEXT($A18),VLOOKUP($A18,Material,6,FALSE),"")</f>
        <v>7.0000000000000007E-2</v>
      </c>
      <c r="H18" s="13">
        <f t="shared" ref="H18:H23" ca="1" si="6">IF(ISTEXT($A18),VLOOKUP($A18,Material,7,FALSE),"")</f>
        <v>0.08</v>
      </c>
      <c r="J18" s="54">
        <f t="shared" ref="J18:O23" ca="1" si="7">IF(ISNUMBER(C18),$B18*C18,"")</f>
        <v>1.6757728000000001</v>
      </c>
      <c r="K18" s="54">
        <f t="shared" ca="1" si="7"/>
        <v>2.5136591999999998</v>
      </c>
      <c r="L18" s="54">
        <f t="shared" ca="1" si="7"/>
        <v>3.3515456000000001</v>
      </c>
      <c r="M18" s="54">
        <f t="shared" ca="1" si="7"/>
        <v>4.189432</v>
      </c>
      <c r="N18" s="54">
        <f t="shared" ca="1" si="7"/>
        <v>5.8652048000000008</v>
      </c>
      <c r="O18" s="54">
        <f t="shared" ca="1" si="7"/>
        <v>6.7030912000000002</v>
      </c>
    </row>
    <row r="19" spans="1:17" x14ac:dyDescent="0.2">
      <c r="A19" s="14" t="s">
        <v>94</v>
      </c>
      <c r="B19" s="15">
        <f>4*1.4*1.8</f>
        <v>10.08</v>
      </c>
      <c r="C19" s="13">
        <f t="shared" ca="1" si="1"/>
        <v>0.28000000000000003</v>
      </c>
      <c r="D19" s="13">
        <f t="shared" ca="1" si="2"/>
        <v>0.2</v>
      </c>
      <c r="E19" s="13">
        <f t="shared" ca="1" si="3"/>
        <v>0.11</v>
      </c>
      <c r="F19" s="13">
        <f t="shared" ca="1" si="4"/>
        <v>0.06</v>
      </c>
      <c r="G19" s="13">
        <f t="shared" ca="1" si="5"/>
        <v>0.03</v>
      </c>
      <c r="H19" s="13">
        <f t="shared" ca="1" si="6"/>
        <v>0.02</v>
      </c>
      <c r="J19" s="54">
        <f t="shared" ca="1" si="7"/>
        <v>2.8224000000000005</v>
      </c>
      <c r="K19" s="54">
        <f t="shared" ca="1" si="7"/>
        <v>2.016</v>
      </c>
      <c r="L19" s="54">
        <f t="shared" ca="1" si="7"/>
        <v>1.1088</v>
      </c>
      <c r="M19" s="54">
        <f t="shared" ca="1" si="7"/>
        <v>0.6048</v>
      </c>
      <c r="N19" s="54">
        <f t="shared" ca="1" si="7"/>
        <v>0.3024</v>
      </c>
      <c r="O19" s="54">
        <f t="shared" ca="1" si="7"/>
        <v>0.2016</v>
      </c>
    </row>
    <row r="20" spans="1:17" x14ac:dyDescent="0.2">
      <c r="A20" s="14" t="s">
        <v>96</v>
      </c>
      <c r="B20" s="15">
        <f>2*2</f>
        <v>4</v>
      </c>
      <c r="C20" s="13">
        <f t="shared" ca="1" si="1"/>
        <v>0.1</v>
      </c>
      <c r="D20" s="13">
        <f t="shared" ca="1" si="2"/>
        <v>0.08</v>
      </c>
      <c r="E20" s="13">
        <f t="shared" ca="1" si="3"/>
        <v>0.06</v>
      </c>
      <c r="F20" s="13">
        <f t="shared" ca="1" si="4"/>
        <v>0.05</v>
      </c>
      <c r="G20" s="13">
        <f t="shared" ca="1" si="5"/>
        <v>0.05</v>
      </c>
      <c r="H20" s="13">
        <f t="shared" ca="1" si="6"/>
        <v>0.05</v>
      </c>
      <c r="J20" s="54">
        <f t="shared" ca="1" si="7"/>
        <v>0.4</v>
      </c>
      <c r="K20" s="54">
        <f t="shared" ca="1" si="7"/>
        <v>0.32</v>
      </c>
      <c r="L20" s="54">
        <f t="shared" ca="1" si="7"/>
        <v>0.24</v>
      </c>
      <c r="M20" s="54">
        <f t="shared" ca="1" si="7"/>
        <v>0.2</v>
      </c>
      <c r="N20" s="54">
        <f t="shared" ca="1" si="7"/>
        <v>0.2</v>
      </c>
      <c r="O20" s="54">
        <f t="shared" ca="1" si="7"/>
        <v>0.2</v>
      </c>
    </row>
    <row r="21" spans="1:17" x14ac:dyDescent="0.2">
      <c r="A21" s="14" t="s">
        <v>116</v>
      </c>
      <c r="B21" s="15">
        <v>0</v>
      </c>
      <c r="C21" s="13">
        <f t="shared" ca="1" si="1"/>
        <v>0.01</v>
      </c>
      <c r="D21" s="13">
        <f t="shared" ca="1" si="2"/>
        <v>0.01</v>
      </c>
      <c r="E21" s="13">
        <f t="shared" ca="1" si="3"/>
        <v>0.01</v>
      </c>
      <c r="F21" s="13">
        <f t="shared" ca="1" si="4"/>
        <v>0.02</v>
      </c>
      <c r="G21" s="13">
        <f t="shared" ca="1" si="5"/>
        <v>0.05</v>
      </c>
      <c r="H21" s="13">
        <f t="shared" ca="1" si="6"/>
        <v>0.02</v>
      </c>
      <c r="J21" s="54">
        <f t="shared" ca="1" si="7"/>
        <v>0</v>
      </c>
      <c r="K21" s="54">
        <f t="shared" ca="1" si="7"/>
        <v>0</v>
      </c>
      <c r="L21" s="54">
        <f t="shared" ca="1" si="7"/>
        <v>0</v>
      </c>
      <c r="M21" s="54">
        <f t="shared" ca="1" si="7"/>
        <v>0</v>
      </c>
      <c r="N21" s="54">
        <f t="shared" ca="1" si="7"/>
        <v>0</v>
      </c>
      <c r="O21" s="54">
        <f t="shared" ca="1" si="7"/>
        <v>0</v>
      </c>
    </row>
    <row r="22" spans="1:17" x14ac:dyDescent="0.2">
      <c r="A22" s="14" t="s">
        <v>19</v>
      </c>
      <c r="B22" s="15">
        <f>l*h*0.7</f>
        <v>20.657111999999998</v>
      </c>
      <c r="C22" s="13">
        <f t="shared" ca="1" si="1"/>
        <v>0.03</v>
      </c>
      <c r="D22" s="13">
        <f t="shared" ca="1" si="2"/>
        <v>0.06</v>
      </c>
      <c r="E22" s="13">
        <f t="shared" ca="1" si="3"/>
        <v>0.13</v>
      </c>
      <c r="F22" s="13">
        <f t="shared" ca="1" si="4"/>
        <v>0.28000000000000003</v>
      </c>
      <c r="G22" s="13">
        <f t="shared" ca="1" si="5"/>
        <v>0.49</v>
      </c>
      <c r="H22" s="13">
        <f t="shared" ca="1" si="6"/>
        <v>0.56000000000000005</v>
      </c>
      <c r="J22" s="54">
        <f t="shared" ca="1" si="7"/>
        <v>0.61971335999999988</v>
      </c>
      <c r="K22" s="54">
        <f t="shared" ca="1" si="7"/>
        <v>1.2394267199999998</v>
      </c>
      <c r="L22" s="54">
        <f t="shared" ca="1" si="7"/>
        <v>2.68542456</v>
      </c>
      <c r="M22" s="54">
        <f t="shared" ca="1" si="7"/>
        <v>5.7839913599999999</v>
      </c>
      <c r="N22" s="54">
        <f t="shared" ca="1" si="7"/>
        <v>10.121984879999999</v>
      </c>
      <c r="O22" s="54">
        <f t="shared" ca="1" si="7"/>
        <v>11.56798272</v>
      </c>
    </row>
    <row r="23" spans="1:17" x14ac:dyDescent="0.2">
      <c r="A23" s="14"/>
      <c r="B23" s="15"/>
      <c r="C23" s="13" t="str">
        <f t="shared" si="1"/>
        <v/>
      </c>
      <c r="D23" s="13" t="str">
        <f t="shared" si="2"/>
        <v/>
      </c>
      <c r="E23" s="13" t="str">
        <f t="shared" si="3"/>
        <v/>
      </c>
      <c r="F23" s="13" t="str">
        <f t="shared" si="4"/>
        <v/>
      </c>
      <c r="G23" s="13" t="str">
        <f t="shared" si="5"/>
        <v/>
      </c>
      <c r="H23" s="13" t="str">
        <f t="shared" si="6"/>
        <v/>
      </c>
      <c r="J23" s="54" t="str">
        <f t="shared" si="7"/>
        <v/>
      </c>
      <c r="K23" s="54" t="str">
        <f t="shared" si="7"/>
        <v/>
      </c>
      <c r="L23" s="54" t="str">
        <f t="shared" si="7"/>
        <v/>
      </c>
      <c r="M23" s="54" t="str">
        <f t="shared" si="7"/>
        <v/>
      </c>
      <c r="N23" s="54" t="str">
        <f t="shared" si="7"/>
        <v/>
      </c>
      <c r="O23" s="54" t="str">
        <f t="shared" si="7"/>
        <v/>
      </c>
    </row>
    <row r="24" spans="1:17" x14ac:dyDescent="0.2">
      <c r="A24" s="27" t="s">
        <v>11</v>
      </c>
      <c r="B24" s="26">
        <f>B17-SUM(B18:B21)</f>
        <v>0</v>
      </c>
      <c r="C24" s="13"/>
      <c r="D24" s="13"/>
      <c r="E24" s="18"/>
      <c r="F24" s="13"/>
      <c r="G24" s="13"/>
      <c r="H24" s="13"/>
      <c r="J24" s="54"/>
      <c r="K24" s="54"/>
      <c r="L24" s="54"/>
      <c r="M24" s="54"/>
      <c r="N24" s="54"/>
      <c r="O24" s="54"/>
    </row>
    <row r="25" spans="1:17" ht="15.75" x14ac:dyDescent="0.2">
      <c r="A25" s="12" t="s">
        <v>10</v>
      </c>
      <c r="B25" s="13">
        <f>b*l</f>
        <v>53.280234</v>
      </c>
      <c r="C25" s="13"/>
      <c r="D25" s="13"/>
      <c r="E25" s="13"/>
      <c r="F25" s="13"/>
      <c r="G25" s="13"/>
      <c r="H25" s="13"/>
      <c r="J25" s="54"/>
      <c r="K25" s="54"/>
      <c r="L25" s="54"/>
      <c r="M25" s="54"/>
      <c r="N25" s="54"/>
      <c r="O25" s="54"/>
    </row>
    <row r="26" spans="1:17" x14ac:dyDescent="0.2">
      <c r="A26" s="14" t="s">
        <v>104</v>
      </c>
      <c r="B26" s="15">
        <f>B25</f>
        <v>53.280234</v>
      </c>
      <c r="C26" s="13">
        <f ca="1">IF(ISTEXT($A26),VLOOKUP($A26,Material,2,FALSE),"")</f>
        <v>0.01</v>
      </c>
      <c r="D26" s="13">
        <f ca="1">IF(ISTEXT($A26),VLOOKUP($A26,Material,3,FALSE),"")</f>
        <v>0.02</v>
      </c>
      <c r="E26" s="13">
        <f ca="1">IF(ISTEXT($A26),VLOOKUP($A26,Material,4,FALSE),"")</f>
        <v>0.01</v>
      </c>
      <c r="F26" s="13">
        <f ca="1">IF(ISTEXT($A26),VLOOKUP($A26,Material,5,FALSE),"")</f>
        <v>0.03</v>
      </c>
      <c r="G26" s="13">
        <f ca="1">IF(ISTEXT($A26),VLOOKUP($A26,Material,6,FALSE),"")</f>
        <v>0.05</v>
      </c>
      <c r="H26" s="13">
        <f ca="1">IF(ISTEXT($A26),VLOOKUP($A26,Material,7,FALSE),"")</f>
        <v>0.05</v>
      </c>
      <c r="J26" s="54">
        <f t="shared" ref="J26:O29" ca="1" si="8">IF(ISNUMBER(C26),$B26*C26,"")</f>
        <v>0.53280234000000004</v>
      </c>
      <c r="K26" s="54">
        <f t="shared" ca="1" si="8"/>
        <v>1.0656046800000001</v>
      </c>
      <c r="L26" s="54">
        <f t="shared" ca="1" si="8"/>
        <v>0.53280234000000004</v>
      </c>
      <c r="M26" s="54">
        <f t="shared" ca="1" si="8"/>
        <v>1.59840702</v>
      </c>
      <c r="N26" s="54">
        <f t="shared" ca="1" si="8"/>
        <v>2.6640117000000001</v>
      </c>
      <c r="O26" s="54">
        <f t="shared" ca="1" si="8"/>
        <v>2.6640117000000001</v>
      </c>
    </row>
    <row r="27" spans="1:17" ht="12.75" customHeight="1" x14ac:dyDescent="0.2">
      <c r="A27" s="14"/>
      <c r="B27" s="15"/>
      <c r="C27" s="13" t="str">
        <f>IF(ISTEXT($A27),VLOOKUP($A27,Material,2,FALSE),"")</f>
        <v/>
      </c>
      <c r="D27" s="13" t="str">
        <f>IF(ISTEXT($A27),VLOOKUP($A27,Material,3,FALSE),"")</f>
        <v/>
      </c>
      <c r="E27" s="13" t="str">
        <f>IF(ISTEXT($A27),VLOOKUP($A27,Material,4,FALSE),"")</f>
        <v/>
      </c>
      <c r="F27" s="13" t="str">
        <f>IF(ISTEXT($A27),VLOOKUP($A27,Material,5,FALSE),"")</f>
        <v/>
      </c>
      <c r="G27" s="13" t="str">
        <f>IF(ISTEXT($A27),VLOOKUP($A27,Material,6,FALSE),"")</f>
        <v/>
      </c>
      <c r="H27" s="13" t="str">
        <f>IF(ISTEXT($A27),VLOOKUP($A27,Material,7,FALSE),"")</f>
        <v/>
      </c>
      <c r="J27" s="54" t="str">
        <f t="shared" si="8"/>
        <v/>
      </c>
      <c r="K27" s="54" t="str">
        <f t="shared" si="8"/>
        <v/>
      </c>
      <c r="L27" s="54" t="str">
        <f t="shared" si="8"/>
        <v/>
      </c>
      <c r="M27" s="54" t="str">
        <f t="shared" si="8"/>
        <v/>
      </c>
      <c r="N27" s="54" t="str">
        <f t="shared" si="8"/>
        <v/>
      </c>
      <c r="O27" s="54" t="str">
        <f t="shared" si="8"/>
        <v/>
      </c>
    </row>
    <row r="28" spans="1:17" ht="12.75" customHeight="1" x14ac:dyDescent="0.2">
      <c r="A28" s="14"/>
      <c r="B28" s="15"/>
      <c r="C28" s="13" t="str">
        <f>IF(ISTEXT($A28),VLOOKUP($A28,Material,2,FALSE),"")</f>
        <v/>
      </c>
      <c r="D28" s="13" t="str">
        <f>IF(ISTEXT($A28),VLOOKUP($A28,Material,3,FALSE),"")</f>
        <v/>
      </c>
      <c r="E28" s="13" t="str">
        <f>IF(ISTEXT($A28),VLOOKUP($A28,Material,4,FALSE),"")</f>
        <v/>
      </c>
      <c r="F28" s="13" t="str">
        <f>IF(ISTEXT($A28),VLOOKUP($A28,Material,5,FALSE),"")</f>
        <v/>
      </c>
      <c r="G28" s="13" t="str">
        <f>IF(ISTEXT($A28),VLOOKUP($A28,Material,6,FALSE),"")</f>
        <v/>
      </c>
      <c r="H28" s="13" t="str">
        <f>IF(ISTEXT($A28),VLOOKUP($A28,Material,7,FALSE),"")</f>
        <v/>
      </c>
      <c r="J28" s="54" t="str">
        <f t="shared" si="8"/>
        <v/>
      </c>
      <c r="K28" s="54" t="str">
        <f t="shared" si="8"/>
        <v/>
      </c>
      <c r="L28" s="54" t="str">
        <f t="shared" si="8"/>
        <v/>
      </c>
      <c r="M28" s="54" t="str">
        <f t="shared" si="8"/>
        <v/>
      </c>
      <c r="N28" s="54" t="str">
        <f t="shared" si="8"/>
        <v/>
      </c>
      <c r="O28" s="54" t="str">
        <f t="shared" si="8"/>
        <v/>
      </c>
    </row>
    <row r="29" spans="1:17" ht="12.75" customHeight="1" x14ac:dyDescent="0.2">
      <c r="A29" s="14"/>
      <c r="B29" s="15"/>
      <c r="C29" s="13" t="str">
        <f>IF(ISTEXT($A29),VLOOKUP($A29,Material,2,FALSE),"")</f>
        <v/>
      </c>
      <c r="D29" s="13" t="str">
        <f>IF(ISTEXT($A29),VLOOKUP($A29,Material,3,FALSE),"")</f>
        <v/>
      </c>
      <c r="E29" s="13" t="str">
        <f>IF(ISTEXT($A29),VLOOKUP($A29,Material,4,FALSE),"")</f>
        <v/>
      </c>
      <c r="F29" s="13" t="str">
        <f>IF(ISTEXT($A29),VLOOKUP($A29,Material,5,FALSE),"")</f>
        <v/>
      </c>
      <c r="G29" s="13" t="str">
        <f>IF(ISTEXT($A29),VLOOKUP($A29,Material,6,FALSE),"")</f>
        <v/>
      </c>
      <c r="H29" s="13" t="str">
        <f>IF(ISTEXT($A29),VLOOKUP($A29,Material,7,FALSE),"")</f>
        <v/>
      </c>
      <c r="J29" s="54" t="str">
        <f t="shared" si="8"/>
        <v/>
      </c>
      <c r="K29" s="54" t="str">
        <f t="shared" si="8"/>
        <v/>
      </c>
      <c r="L29" s="54" t="str">
        <f t="shared" si="8"/>
        <v/>
      </c>
      <c r="M29" s="54" t="str">
        <f t="shared" si="8"/>
        <v/>
      </c>
      <c r="N29" s="54" t="str">
        <f t="shared" si="8"/>
        <v/>
      </c>
      <c r="O29" s="54" t="str">
        <f t="shared" si="8"/>
        <v/>
      </c>
    </row>
    <row r="30" spans="1:17" x14ac:dyDescent="0.2">
      <c r="A30" s="27" t="s">
        <v>11</v>
      </c>
      <c r="B30" s="26">
        <f>B25-SUM(B26:B29)</f>
        <v>0</v>
      </c>
      <c r="J30" s="54"/>
      <c r="K30" s="54"/>
      <c r="L30" s="54"/>
      <c r="M30" s="54"/>
      <c r="N30" s="54"/>
      <c r="O30" s="54"/>
    </row>
    <row r="31" spans="1:17" s="43" customFormat="1" ht="15.75" x14ac:dyDescent="0.2">
      <c r="A31" s="40" t="s">
        <v>24</v>
      </c>
      <c r="B31" s="41">
        <f ca="1">IF(COUNT(C31:H31)&gt;0,ROUND(AVERAGE(C31:H31),2),"-")</f>
        <v>7.0000000000000007E-2</v>
      </c>
      <c r="C31" s="42">
        <f t="shared" ref="C31:H31" ca="1" si="9">IF(J31&lt;&gt;0,J31/Stotal,"-")</f>
        <v>3.4810567093997206E-2</v>
      </c>
      <c r="D31" s="42">
        <f t="shared" ca="1" si="9"/>
        <v>4.2817276392948897E-2</v>
      </c>
      <c r="E31" s="42">
        <f t="shared" ca="1" si="9"/>
        <v>4.9160229471822574E-2</v>
      </c>
      <c r="F31" s="42">
        <f t="shared" ca="1" si="9"/>
        <v>7.3573877160389517E-2</v>
      </c>
      <c r="G31" s="42">
        <f t="shared" ca="1" si="9"/>
        <v>0.11193717951359451</v>
      </c>
      <c r="H31" s="42">
        <f t="shared" ca="1" si="9"/>
        <v>0.12522240394454984</v>
      </c>
      <c r="I31" s="55"/>
      <c r="J31" s="56">
        <f t="shared" ref="J31:O31" ca="1" si="10">SUM(J12:J30)</f>
        <v>7.1162931800000004</v>
      </c>
      <c r="K31" s="56">
        <f t="shared" ca="1" si="10"/>
        <v>8.7530976200000001</v>
      </c>
      <c r="L31" s="56">
        <f t="shared" ca="1" si="10"/>
        <v>10.04978186</v>
      </c>
      <c r="M31" s="56">
        <f t="shared" ca="1" si="10"/>
        <v>15.04064208</v>
      </c>
      <c r="N31" s="56">
        <f t="shared" ca="1" si="10"/>
        <v>22.883217759999997</v>
      </c>
      <c r="O31" s="56">
        <f t="shared" ca="1" si="10"/>
        <v>25.59910434</v>
      </c>
      <c r="P31" s="55"/>
      <c r="Q31" s="55"/>
    </row>
    <row r="32" spans="1:17" x14ac:dyDescent="0.2">
      <c r="A32" s="19" t="s">
        <v>20</v>
      </c>
      <c r="B32" s="20">
        <f ca="1">AVERAGE(C32:H32)</f>
        <v>2.3905381534292385</v>
      </c>
      <c r="C32" s="20">
        <f t="shared" ref="C32:H32" ca="1" si="11">0.163*V/(Stotal*C31)</f>
        <v>4.0028907726592564</v>
      </c>
      <c r="D32" s="20">
        <f t="shared" ca="1" si="11"/>
        <v>3.2543615463253563</v>
      </c>
      <c r="E32" s="20">
        <f t="shared" ca="1" si="11"/>
        <v>2.8344639418631119</v>
      </c>
      <c r="F32" s="20">
        <f t="shared" ca="1" si="11"/>
        <v>1.8939181023154827</v>
      </c>
      <c r="G32" s="20">
        <f t="shared" ca="1" si="11"/>
        <v>1.2448312385312021</v>
      </c>
      <c r="H32" s="20">
        <f t="shared" ca="1" si="11"/>
        <v>1.1127633188810226</v>
      </c>
      <c r="I32" s="47"/>
    </row>
    <row r="33" spans="1:17" x14ac:dyDescent="0.2">
      <c r="A33" s="19" t="s">
        <v>42</v>
      </c>
      <c r="B33" s="20">
        <f ca="1">AVERAGE(C33:H33)</f>
        <v>8.1149876319804526E-2</v>
      </c>
      <c r="C33" s="19"/>
      <c r="D33" s="20">
        <f ca="1">K31/V</f>
        <v>5.0086629183549232E-2</v>
      </c>
      <c r="E33" s="20">
        <f ca="1">L31/V</f>
        <v>5.7506464482613602E-2</v>
      </c>
      <c r="F33" s="20">
        <f ca="1">M31/V</f>
        <v>8.6064967540422171E-2</v>
      </c>
      <c r="G33" s="20">
        <f ca="1">N31/V</f>
        <v>0.13094144407263311</v>
      </c>
      <c r="H33" s="19"/>
      <c r="J33" s="54"/>
      <c r="K33" s="54"/>
      <c r="L33" s="54"/>
      <c r="M33" s="54"/>
      <c r="N33" s="54"/>
      <c r="O33" s="54"/>
    </row>
    <row r="34" spans="1:17" x14ac:dyDescent="0.2">
      <c r="A34" s="16"/>
      <c r="B34" s="17"/>
      <c r="J34" s="54"/>
      <c r="K34" s="54"/>
      <c r="L34" s="54"/>
      <c r="M34" s="54"/>
      <c r="N34" s="54"/>
      <c r="O34" s="54"/>
    </row>
    <row r="35" spans="1:17" s="4" customFormat="1" ht="15.75" x14ac:dyDescent="0.2">
      <c r="A35" s="12" t="s">
        <v>60</v>
      </c>
      <c r="B35" s="21"/>
      <c r="C35" s="17"/>
      <c r="D35" s="17"/>
      <c r="E35" s="17"/>
      <c r="F35" s="17"/>
      <c r="G35" s="17"/>
      <c r="H35" s="17"/>
      <c r="I35" s="47"/>
      <c r="J35" s="57"/>
      <c r="K35" s="57"/>
      <c r="L35" s="57"/>
      <c r="M35" s="57"/>
      <c r="N35" s="57"/>
      <c r="O35" s="57"/>
      <c r="P35" s="47"/>
      <c r="Q35" s="47"/>
    </row>
    <row r="36" spans="1:17" x14ac:dyDescent="0.2">
      <c r="A36" s="14" t="s">
        <v>14</v>
      </c>
      <c r="B36" s="15">
        <v>1</v>
      </c>
      <c r="C36" s="13">
        <f t="shared" ref="C36:C42" ca="1" si="12">IF(ISTEXT($A36),VLOOKUP($A36,Material,2,FALSE),"")</f>
        <v>0.01</v>
      </c>
      <c r="D36" s="13">
        <f t="shared" ref="D36:D42" ca="1" si="13">IF(ISTEXT($A36),VLOOKUP($A36,Material,3,FALSE),"")</f>
        <v>0.01</v>
      </c>
      <c r="E36" s="13">
        <f t="shared" ref="E36:E42" ca="1" si="14">IF(ISTEXT($A36),VLOOKUP($A36,Material,4,FALSE),"")</f>
        <v>0.01</v>
      </c>
      <c r="F36" s="13">
        <f t="shared" ref="F36:F42" ca="1" si="15">IF(ISTEXT($A36),VLOOKUP($A36,Material,5,FALSE),"")</f>
        <v>0.02</v>
      </c>
      <c r="G36" s="13">
        <f t="shared" ref="G36:G42" ca="1" si="16">IF(ISTEXT($A36),VLOOKUP($A36,Material,6,FALSE),"")</f>
        <v>0.05</v>
      </c>
      <c r="H36" s="13">
        <f t="shared" ref="H36:H42" ca="1" si="17">IF(ISTEXT($A36),VLOOKUP($A36,Material,7,FALSE),"")</f>
        <v>0.02</v>
      </c>
      <c r="J36" s="54">
        <f ca="1">IF(ISNUMBER(C36),$B36*C36,"")</f>
        <v>0.01</v>
      </c>
      <c r="K36" s="54">
        <f t="shared" ref="J36:O42" ca="1" si="18">IF(ISNUMBER(D36),$B36*D36,"")</f>
        <v>0.01</v>
      </c>
      <c r="L36" s="54">
        <f t="shared" ca="1" si="18"/>
        <v>0.01</v>
      </c>
      <c r="M36" s="54">
        <f t="shared" ca="1" si="18"/>
        <v>0.02</v>
      </c>
      <c r="N36" s="54">
        <f t="shared" ca="1" si="18"/>
        <v>0.05</v>
      </c>
      <c r="O36" s="54">
        <f t="shared" ca="1" si="18"/>
        <v>0.02</v>
      </c>
    </row>
    <row r="37" spans="1:17" x14ac:dyDescent="0.2">
      <c r="A37" s="14" t="s">
        <v>79</v>
      </c>
      <c r="B37" s="15">
        <v>5</v>
      </c>
      <c r="C37" s="13">
        <f t="shared" ca="1" si="12"/>
        <v>0.01</v>
      </c>
      <c r="D37" s="13">
        <f t="shared" ca="1" si="13"/>
        <v>0.01</v>
      </c>
      <c r="E37" s="13">
        <f t="shared" ca="1" si="14"/>
        <v>0.02</v>
      </c>
      <c r="F37" s="13">
        <f t="shared" ca="1" si="15"/>
        <v>0.03</v>
      </c>
      <c r="G37" s="13">
        <f t="shared" ca="1" si="16"/>
        <v>0.05</v>
      </c>
      <c r="H37" s="13">
        <f t="shared" ca="1" si="17"/>
        <v>0.05</v>
      </c>
      <c r="J37" s="54">
        <f ca="1">IF(ISNUMBER(C37),$B37*C37,"")</f>
        <v>0.05</v>
      </c>
      <c r="K37" s="54">
        <f t="shared" ca="1" si="18"/>
        <v>0.05</v>
      </c>
      <c r="L37" s="54">
        <f t="shared" ca="1" si="18"/>
        <v>0.1</v>
      </c>
      <c r="M37" s="54">
        <f t="shared" ca="1" si="18"/>
        <v>0.15</v>
      </c>
      <c r="N37" s="54">
        <f t="shared" ca="1" si="18"/>
        <v>0.25</v>
      </c>
      <c r="O37" s="54">
        <f t="shared" ca="1" si="18"/>
        <v>0.25</v>
      </c>
    </row>
    <row r="38" spans="1:17" x14ac:dyDescent="0.2">
      <c r="A38" s="14" t="s">
        <v>124</v>
      </c>
      <c r="B38" s="15">
        <v>0</v>
      </c>
      <c r="C38" s="13">
        <f t="shared" ca="1" si="12"/>
        <v>0.5</v>
      </c>
      <c r="D38" s="13">
        <f t="shared" ca="1" si="13"/>
        <v>0.4</v>
      </c>
      <c r="E38" s="13">
        <f t="shared" ca="1" si="14"/>
        <v>0.45</v>
      </c>
      <c r="F38" s="13">
        <f t="shared" ca="1" si="15"/>
        <v>0.45</v>
      </c>
      <c r="G38" s="13">
        <f t="shared" ca="1" si="16"/>
        <v>0.6</v>
      </c>
      <c r="H38" s="13">
        <f t="shared" ca="1" si="17"/>
        <v>0.7</v>
      </c>
      <c r="J38" s="54">
        <f t="shared" ca="1" si="18"/>
        <v>0</v>
      </c>
      <c r="K38" s="54">
        <f t="shared" ca="1" si="18"/>
        <v>0</v>
      </c>
      <c r="L38" s="54">
        <f t="shared" ca="1" si="18"/>
        <v>0</v>
      </c>
      <c r="M38" s="54">
        <f t="shared" ca="1" si="18"/>
        <v>0</v>
      </c>
      <c r="N38" s="54">
        <f t="shared" ca="1" si="18"/>
        <v>0</v>
      </c>
      <c r="O38" s="54">
        <f t="shared" ca="1" si="18"/>
        <v>0</v>
      </c>
    </row>
    <row r="39" spans="1:17" x14ac:dyDescent="0.2">
      <c r="A39" s="14"/>
      <c r="B39" s="15"/>
      <c r="C39" s="13" t="str">
        <f t="shared" si="12"/>
        <v/>
      </c>
      <c r="D39" s="13" t="str">
        <f t="shared" si="13"/>
        <v/>
      </c>
      <c r="E39" s="13" t="str">
        <f t="shared" si="14"/>
        <v/>
      </c>
      <c r="F39" s="13" t="str">
        <f t="shared" si="15"/>
        <v/>
      </c>
      <c r="G39" s="13" t="str">
        <f t="shared" si="16"/>
        <v/>
      </c>
      <c r="H39" s="13" t="str">
        <f t="shared" si="17"/>
        <v/>
      </c>
      <c r="J39" s="54" t="str">
        <f t="shared" si="18"/>
        <v/>
      </c>
      <c r="K39" s="54" t="str">
        <f t="shared" si="18"/>
        <v/>
      </c>
      <c r="L39" s="54" t="str">
        <f t="shared" si="18"/>
        <v/>
      </c>
      <c r="M39" s="54" t="str">
        <f t="shared" si="18"/>
        <v/>
      </c>
      <c r="N39" s="54" t="str">
        <f t="shared" si="18"/>
        <v/>
      </c>
      <c r="O39" s="54" t="str">
        <f t="shared" si="18"/>
        <v/>
      </c>
    </row>
    <row r="40" spans="1:17" ht="12.75" customHeight="1" x14ac:dyDescent="0.2">
      <c r="A40" s="14"/>
      <c r="B40" s="15"/>
      <c r="C40" s="13" t="str">
        <f t="shared" si="12"/>
        <v/>
      </c>
      <c r="D40" s="13" t="str">
        <f t="shared" si="13"/>
        <v/>
      </c>
      <c r="E40" s="13" t="str">
        <f t="shared" si="14"/>
        <v/>
      </c>
      <c r="F40" s="13" t="str">
        <f t="shared" si="15"/>
        <v/>
      </c>
      <c r="G40" s="13" t="str">
        <f t="shared" si="16"/>
        <v/>
      </c>
      <c r="H40" s="13" t="str">
        <f t="shared" si="17"/>
        <v/>
      </c>
      <c r="J40" s="53" t="str">
        <f t="shared" si="18"/>
        <v/>
      </c>
      <c r="K40" s="53" t="str">
        <f t="shared" si="18"/>
        <v/>
      </c>
      <c r="L40" s="53" t="str">
        <f t="shared" si="18"/>
        <v/>
      </c>
      <c r="M40" s="53" t="str">
        <f t="shared" si="18"/>
        <v/>
      </c>
      <c r="N40" s="53" t="str">
        <f t="shared" si="18"/>
        <v/>
      </c>
      <c r="O40" s="53" t="str">
        <f t="shared" si="18"/>
        <v/>
      </c>
    </row>
    <row r="41" spans="1:17" ht="12.75" customHeight="1" x14ac:dyDescent="0.2">
      <c r="A41" s="14"/>
      <c r="B41" s="15"/>
      <c r="C41" s="13" t="str">
        <f t="shared" si="12"/>
        <v/>
      </c>
      <c r="D41" s="13" t="str">
        <f t="shared" si="13"/>
        <v/>
      </c>
      <c r="E41" s="13" t="str">
        <f t="shared" si="14"/>
        <v/>
      </c>
      <c r="F41" s="13" t="str">
        <f t="shared" si="15"/>
        <v/>
      </c>
      <c r="G41" s="13" t="str">
        <f t="shared" si="16"/>
        <v/>
      </c>
      <c r="H41" s="13" t="str">
        <f t="shared" si="17"/>
        <v/>
      </c>
      <c r="J41" s="53" t="str">
        <f t="shared" si="18"/>
        <v/>
      </c>
      <c r="K41" s="53" t="str">
        <f t="shared" si="18"/>
        <v/>
      </c>
      <c r="L41" s="53" t="str">
        <f t="shared" si="18"/>
        <v/>
      </c>
      <c r="M41" s="53" t="str">
        <f t="shared" si="18"/>
        <v/>
      </c>
      <c r="N41" s="53" t="str">
        <f t="shared" si="18"/>
        <v/>
      </c>
      <c r="O41" s="53" t="str">
        <f t="shared" si="18"/>
        <v/>
      </c>
    </row>
    <row r="42" spans="1:17" ht="12.75" customHeight="1" x14ac:dyDescent="0.2">
      <c r="A42" s="14"/>
      <c r="B42" s="15"/>
      <c r="C42" s="13" t="str">
        <f t="shared" si="12"/>
        <v/>
      </c>
      <c r="D42" s="13" t="str">
        <f t="shared" si="13"/>
        <v/>
      </c>
      <c r="E42" s="13" t="str">
        <f t="shared" si="14"/>
        <v/>
      </c>
      <c r="F42" s="13" t="str">
        <f t="shared" si="15"/>
        <v/>
      </c>
      <c r="G42" s="13" t="str">
        <f t="shared" si="16"/>
        <v/>
      </c>
      <c r="H42" s="13" t="str">
        <f t="shared" si="17"/>
        <v/>
      </c>
      <c r="J42" s="53" t="str">
        <f t="shared" si="18"/>
        <v/>
      </c>
      <c r="K42" s="53" t="str">
        <f t="shared" si="18"/>
        <v/>
      </c>
      <c r="L42" s="53" t="str">
        <f t="shared" si="18"/>
        <v/>
      </c>
      <c r="M42" s="53" t="str">
        <f t="shared" si="18"/>
        <v/>
      </c>
      <c r="N42" s="53" t="str">
        <f t="shared" si="18"/>
        <v/>
      </c>
      <c r="O42" s="53" t="str">
        <f t="shared" si="18"/>
        <v/>
      </c>
    </row>
    <row r="43" spans="1:17" s="4" customFormat="1" ht="15.75" x14ac:dyDescent="0.2">
      <c r="A43" s="4" t="s">
        <v>24</v>
      </c>
      <c r="B43" s="39">
        <f ca="1">IF(COUNT(C43:H43)&gt;0,ROUND(AVERAGE(C43:H43),2),"-")</f>
        <v>7.0000000000000007E-2</v>
      </c>
      <c r="C43" s="17">
        <f t="shared" ref="C43:H43" ca="1" si="19">IF(J43&lt;&gt;0,J43/Stotal,"-")</f>
        <v>3.5104067371853918E-2</v>
      </c>
      <c r="D43" s="17">
        <f t="shared" ca="1" si="19"/>
        <v>4.3110776670805616E-2</v>
      </c>
      <c r="E43" s="17">
        <f t="shared" ca="1" si="19"/>
        <v>4.9698313314559879E-2</v>
      </c>
      <c r="F43" s="17">
        <f t="shared" ca="1" si="19"/>
        <v>7.4405461280983534E-2</v>
      </c>
      <c r="G43" s="17">
        <f t="shared" ca="1" si="19"/>
        <v>0.11340468090287807</v>
      </c>
      <c r="H43" s="17">
        <f t="shared" ca="1" si="19"/>
        <v>0.12654315519490503</v>
      </c>
      <c r="I43" s="47"/>
      <c r="J43" s="58">
        <f t="shared" ref="J43:O43" ca="1" si="20">SUM(J31:J42)</f>
        <v>7.17629318</v>
      </c>
      <c r="K43" s="58">
        <f t="shared" ca="1" si="20"/>
        <v>8.8130976200000006</v>
      </c>
      <c r="L43" s="58">
        <f t="shared" ca="1" si="20"/>
        <v>10.159781859999999</v>
      </c>
      <c r="M43" s="58">
        <f t="shared" ca="1" si="20"/>
        <v>15.21064208</v>
      </c>
      <c r="N43" s="58">
        <f t="shared" ca="1" si="20"/>
        <v>23.183217759999998</v>
      </c>
      <c r="O43" s="58">
        <f t="shared" ca="1" si="20"/>
        <v>25.86910434</v>
      </c>
      <c r="P43" s="47"/>
      <c r="Q43" s="47"/>
    </row>
    <row r="44" spans="1:17" x14ac:dyDescent="0.2">
      <c r="A44" s="19" t="s">
        <v>15</v>
      </c>
      <c r="B44" s="20">
        <f ca="1">AVERAGE(C44:H44)</f>
        <v>2.368004473229147</v>
      </c>
      <c r="C44" s="20">
        <f t="shared" ref="C44:H44" ca="1" si="21">0.163*V/(Stotal*C43)</f>
        <v>3.9694231536064413</v>
      </c>
      <c r="D44" s="20">
        <f t="shared" ca="1" si="21"/>
        <v>3.2322056936162697</v>
      </c>
      <c r="E44" s="20">
        <f t="shared" ca="1" si="21"/>
        <v>2.8037751891023377</v>
      </c>
      <c r="F44" s="20">
        <f t="shared" ca="1" si="21"/>
        <v>1.8727509434473524</v>
      </c>
      <c r="G44" s="20">
        <f t="shared" ca="1" si="21"/>
        <v>1.2287226303377483</v>
      </c>
      <c r="H44" s="20">
        <f t="shared" ca="1" si="21"/>
        <v>1.1011492292647345</v>
      </c>
      <c r="I44" s="47"/>
    </row>
    <row r="45" spans="1:17" s="4" customFormat="1" x14ac:dyDescent="0.2">
      <c r="A45" s="19" t="s">
        <v>42</v>
      </c>
      <c r="B45" s="20">
        <f ca="1">AVERAGE(C45:H45)</f>
        <v>8.2065421994864413E-2</v>
      </c>
      <c r="C45" s="19"/>
      <c r="D45" s="20">
        <f ca="1">K43/V</f>
        <v>5.0429958811696686E-2</v>
      </c>
      <c r="E45" s="20">
        <f ca="1">L43/V</f>
        <v>5.8135902134217265E-2</v>
      </c>
      <c r="F45" s="20">
        <f ca="1">M43/V</f>
        <v>8.7037734820173296E-2</v>
      </c>
      <c r="G45" s="20">
        <f ca="1">N43/V</f>
        <v>0.13265809221337038</v>
      </c>
      <c r="H45" s="22"/>
      <c r="I45" s="47"/>
      <c r="J45" s="59"/>
      <c r="K45" s="47"/>
      <c r="L45" s="47"/>
      <c r="M45" s="47"/>
      <c r="N45" s="47"/>
      <c r="O45" s="47"/>
      <c r="P45" s="47"/>
      <c r="Q45" s="47"/>
    </row>
    <row r="46" spans="1:17" s="4" customFormat="1" x14ac:dyDescent="0.2">
      <c r="A46" s="23"/>
      <c r="B46" s="24"/>
      <c r="C46" s="24"/>
      <c r="D46" s="24"/>
      <c r="E46" s="24"/>
      <c r="F46" s="24"/>
      <c r="G46" s="24"/>
      <c r="H46" s="24"/>
      <c r="I46" s="47"/>
      <c r="J46" s="59"/>
      <c r="K46" s="47"/>
      <c r="L46" s="47"/>
      <c r="M46" s="47"/>
      <c r="N46" s="47"/>
      <c r="O46" s="47"/>
      <c r="P46" s="47"/>
      <c r="Q46" s="47"/>
    </row>
    <row r="47" spans="1:17" s="4" customFormat="1" ht="15.75" x14ac:dyDescent="0.2">
      <c r="A47" s="12" t="s">
        <v>26</v>
      </c>
      <c r="B47" s="21"/>
      <c r="C47" s="17"/>
      <c r="D47" s="17"/>
      <c r="E47" s="17"/>
      <c r="F47" s="17"/>
      <c r="G47" s="17"/>
      <c r="H47" s="17"/>
      <c r="I47" s="47"/>
      <c r="J47" s="57"/>
      <c r="K47" s="57"/>
      <c r="L47" s="57"/>
      <c r="M47" s="57"/>
      <c r="N47" s="57"/>
      <c r="O47" s="57"/>
      <c r="P47" s="47"/>
      <c r="Q47" s="47"/>
    </row>
    <row r="48" spans="1:17" x14ac:dyDescent="0.2">
      <c r="A48" s="14" t="s">
        <v>29</v>
      </c>
      <c r="B48" s="15">
        <f>10*2.4*1.2</f>
        <v>28.799999999999997</v>
      </c>
      <c r="C48" s="13">
        <f t="shared" ref="C48:C60" ca="1" si="22">IF(ISTEXT($A48),VLOOKUP($A48,Material,2,FALSE),"")</f>
        <v>0.26</v>
      </c>
      <c r="D48" s="13">
        <f t="shared" ref="D48:D60" ca="1" si="23">IF(ISTEXT($A48),VLOOKUP($A48,Material,3,FALSE),"")</f>
        <v>0.55000000000000004</v>
      </c>
      <c r="E48" s="13">
        <f t="shared" ref="E48:E60" ca="1" si="24">IF(ISTEXT($A48),VLOOKUP($A48,Material,4,FALSE),"")</f>
        <v>0.91</v>
      </c>
      <c r="F48" s="13">
        <f t="shared" ref="F48:F60" ca="1" si="25">IF(ISTEXT($A48),VLOOKUP($A48,Material,5,FALSE),"")</f>
        <v>0.98</v>
      </c>
      <c r="G48" s="13">
        <f t="shared" ref="G48:G60" ca="1" si="26">IF(ISTEXT($A48),VLOOKUP($A48,Material,6,FALSE),"")</f>
        <v>0.76</v>
      </c>
      <c r="H48" s="13">
        <f t="shared" ref="H48:H60" ca="1" si="27">IF(ISTEXT($A48),VLOOKUP($A48,Material,7,FALSE),"")</f>
        <v>0.92</v>
      </c>
      <c r="J48" s="54">
        <f ca="1">IF(ISNUMBER(C48),$B48*C48,"")</f>
        <v>7.4879999999999995</v>
      </c>
      <c r="K48" s="54">
        <f t="shared" ref="K48:O60" ca="1" si="28">IF(ISNUMBER(D48),$B48*D48,"")</f>
        <v>15.84</v>
      </c>
      <c r="L48" s="54">
        <f t="shared" ca="1" si="28"/>
        <v>26.207999999999998</v>
      </c>
      <c r="M48" s="54">
        <f t="shared" ca="1" si="28"/>
        <v>28.223999999999997</v>
      </c>
      <c r="N48" s="54">
        <f t="shared" ca="1" si="28"/>
        <v>21.887999999999998</v>
      </c>
      <c r="O48" s="54">
        <f t="shared" ca="1" si="28"/>
        <v>26.495999999999999</v>
      </c>
    </row>
    <row r="49" spans="1:17" x14ac:dyDescent="0.2">
      <c r="A49" s="14" t="s">
        <v>30</v>
      </c>
      <c r="B49" s="15"/>
      <c r="C49" s="13">
        <f t="shared" ca="1" si="22"/>
        <v>0.42</v>
      </c>
      <c r="D49" s="13">
        <f t="shared" ca="1" si="23"/>
        <v>0.74</v>
      </c>
      <c r="E49" s="13">
        <f t="shared" ca="1" si="24"/>
        <v>0.96</v>
      </c>
      <c r="F49" s="13">
        <f t="shared" ca="1" si="25"/>
        <v>0.79</v>
      </c>
      <c r="G49" s="13">
        <f t="shared" ca="1" si="26"/>
        <v>0.83</v>
      </c>
      <c r="H49" s="13">
        <f t="shared" ca="1" si="27"/>
        <v>0.94</v>
      </c>
      <c r="J49" s="54">
        <f ca="1">IF(ISNUMBER(C49),$B49*C49,"")</f>
        <v>0</v>
      </c>
      <c r="K49" s="54">
        <f t="shared" ca="1" si="28"/>
        <v>0</v>
      </c>
      <c r="L49" s="54">
        <f t="shared" ca="1" si="28"/>
        <v>0</v>
      </c>
      <c r="M49" s="54">
        <f t="shared" ca="1" si="28"/>
        <v>0</v>
      </c>
      <c r="N49" s="54">
        <f t="shared" ca="1" si="28"/>
        <v>0</v>
      </c>
      <c r="O49" s="54">
        <f t="shared" ca="1" si="28"/>
        <v>0</v>
      </c>
    </row>
    <row r="50" spans="1:17" x14ac:dyDescent="0.2">
      <c r="A50" s="14" t="s">
        <v>31</v>
      </c>
      <c r="B50" s="15"/>
      <c r="C50" s="13">
        <f t="shared" ca="1" si="22"/>
        <v>0.4</v>
      </c>
      <c r="D50" s="13">
        <f t="shared" ca="1" si="23"/>
        <v>0.85000000000000009</v>
      </c>
      <c r="E50" s="13">
        <f t="shared" ca="1" si="24"/>
        <v>0.89999999999999991</v>
      </c>
      <c r="F50" s="13">
        <f t="shared" ca="1" si="25"/>
        <v>0.70000000000000007</v>
      </c>
      <c r="G50" s="13">
        <f t="shared" ca="1" si="26"/>
        <v>0.75</v>
      </c>
      <c r="H50" s="13">
        <f t="shared" ca="1" si="27"/>
        <v>0.95</v>
      </c>
      <c r="J50" s="54">
        <f t="shared" ref="J50:J60" ca="1" si="29">IF(ISNUMBER(C50),$B50*C50,"")</f>
        <v>0</v>
      </c>
      <c r="K50" s="54">
        <f t="shared" ca="1" si="28"/>
        <v>0</v>
      </c>
      <c r="L50" s="54">
        <f t="shared" ca="1" si="28"/>
        <v>0</v>
      </c>
      <c r="M50" s="54">
        <f t="shared" ca="1" si="28"/>
        <v>0</v>
      </c>
      <c r="N50" s="54">
        <f t="shared" ca="1" si="28"/>
        <v>0</v>
      </c>
      <c r="O50" s="54">
        <f t="shared" ca="1" si="28"/>
        <v>0</v>
      </c>
    </row>
    <row r="51" spans="1:17" x14ac:dyDescent="0.2">
      <c r="A51" s="14" t="s">
        <v>28</v>
      </c>
      <c r="B51" s="15"/>
      <c r="C51" s="13">
        <f t="shared" ca="1" si="22"/>
        <v>0.09</v>
      </c>
      <c r="D51" s="13">
        <f t="shared" ca="1" si="23"/>
        <v>0.28999999999999998</v>
      </c>
      <c r="E51" s="13">
        <f t="shared" ca="1" si="24"/>
        <v>0.68</v>
      </c>
      <c r="F51" s="13">
        <f t="shared" ca="1" si="25"/>
        <v>0.95</v>
      </c>
      <c r="G51" s="13">
        <f t="shared" ca="1" si="26"/>
        <v>0.95</v>
      </c>
      <c r="H51" s="13">
        <f t="shared" ca="1" si="27"/>
        <v>0.91</v>
      </c>
      <c r="J51" s="54">
        <f t="shared" ca="1" si="29"/>
        <v>0</v>
      </c>
      <c r="K51" s="54">
        <f t="shared" ca="1" si="28"/>
        <v>0</v>
      </c>
      <c r="L51" s="54">
        <f t="shared" ca="1" si="28"/>
        <v>0</v>
      </c>
      <c r="M51" s="54">
        <f t="shared" ca="1" si="28"/>
        <v>0</v>
      </c>
      <c r="N51" s="54">
        <f t="shared" ca="1" si="28"/>
        <v>0</v>
      </c>
      <c r="O51" s="54">
        <f t="shared" ca="1" si="28"/>
        <v>0</v>
      </c>
    </row>
    <row r="52" spans="1:17" ht="12.75" customHeight="1" x14ac:dyDescent="0.2">
      <c r="A52" s="14" t="s">
        <v>28</v>
      </c>
      <c r="B52" s="15"/>
      <c r="C52" s="13">
        <f t="shared" ca="1" si="22"/>
        <v>0.09</v>
      </c>
      <c r="D52" s="13">
        <f t="shared" ca="1" si="23"/>
        <v>0.28999999999999998</v>
      </c>
      <c r="E52" s="13">
        <f t="shared" ca="1" si="24"/>
        <v>0.68</v>
      </c>
      <c r="F52" s="13">
        <f t="shared" ca="1" si="25"/>
        <v>0.95</v>
      </c>
      <c r="G52" s="13">
        <f t="shared" ca="1" si="26"/>
        <v>0.95</v>
      </c>
      <c r="H52" s="13">
        <f t="shared" ca="1" si="27"/>
        <v>0.91</v>
      </c>
      <c r="J52" s="54">
        <f t="shared" ca="1" si="29"/>
        <v>0</v>
      </c>
      <c r="K52" s="54">
        <f t="shared" ca="1" si="28"/>
        <v>0</v>
      </c>
      <c r="L52" s="54">
        <f t="shared" ca="1" si="28"/>
        <v>0</v>
      </c>
      <c r="M52" s="54">
        <f t="shared" ca="1" si="28"/>
        <v>0</v>
      </c>
      <c r="N52" s="54">
        <f t="shared" ca="1" si="28"/>
        <v>0</v>
      </c>
      <c r="O52" s="54">
        <f t="shared" ca="1" si="28"/>
        <v>0</v>
      </c>
    </row>
    <row r="53" spans="1:17" ht="12.75" customHeight="1" x14ac:dyDescent="0.2">
      <c r="A53" s="14" t="s">
        <v>27</v>
      </c>
      <c r="B53" s="15"/>
      <c r="C53" s="13">
        <f t="shared" ca="1" si="22"/>
        <v>0.01</v>
      </c>
      <c r="D53" s="13">
        <f t="shared" ca="1" si="23"/>
        <v>0.04</v>
      </c>
      <c r="E53" s="13">
        <f t="shared" ca="1" si="24"/>
        <v>0.15</v>
      </c>
      <c r="F53" s="13">
        <f t="shared" ca="1" si="25"/>
        <v>0.41</v>
      </c>
      <c r="G53" s="13">
        <f t="shared" ca="1" si="26"/>
        <v>0.68</v>
      </c>
      <c r="H53" s="13">
        <f t="shared" ca="1" si="27"/>
        <v>0.9</v>
      </c>
      <c r="J53" s="53">
        <f t="shared" ca="1" si="29"/>
        <v>0</v>
      </c>
      <c r="K53" s="53">
        <f t="shared" ca="1" si="28"/>
        <v>0</v>
      </c>
      <c r="L53" s="53">
        <f t="shared" ca="1" si="28"/>
        <v>0</v>
      </c>
      <c r="M53" s="53">
        <f t="shared" ca="1" si="28"/>
        <v>0</v>
      </c>
      <c r="N53" s="53">
        <f t="shared" ca="1" si="28"/>
        <v>0</v>
      </c>
      <c r="O53" s="53">
        <f t="shared" ca="1" si="28"/>
        <v>0</v>
      </c>
    </row>
    <row r="54" spans="1:17" ht="12.75" customHeight="1" x14ac:dyDescent="0.2">
      <c r="A54" s="14"/>
      <c r="B54" s="15"/>
      <c r="C54" s="13" t="str">
        <f t="shared" si="22"/>
        <v/>
      </c>
      <c r="D54" s="13" t="str">
        <f t="shared" si="23"/>
        <v/>
      </c>
      <c r="E54" s="13" t="str">
        <f t="shared" si="24"/>
        <v/>
      </c>
      <c r="F54" s="13" t="str">
        <f t="shared" si="25"/>
        <v/>
      </c>
      <c r="G54" s="13" t="str">
        <f t="shared" si="26"/>
        <v/>
      </c>
      <c r="H54" s="13" t="str">
        <f t="shared" si="27"/>
        <v/>
      </c>
      <c r="J54" s="53" t="str">
        <f t="shared" si="29"/>
        <v/>
      </c>
      <c r="K54" s="53" t="str">
        <f t="shared" si="28"/>
        <v/>
      </c>
      <c r="L54" s="53" t="str">
        <f t="shared" si="28"/>
        <v/>
      </c>
      <c r="M54" s="53" t="str">
        <f t="shared" si="28"/>
        <v/>
      </c>
      <c r="N54" s="53" t="str">
        <f t="shared" si="28"/>
        <v/>
      </c>
      <c r="O54" s="53" t="str">
        <f t="shared" si="28"/>
        <v/>
      </c>
    </row>
    <row r="55" spans="1:17" ht="12.75" customHeight="1" x14ac:dyDescent="0.2">
      <c r="A55" s="14"/>
      <c r="B55" s="15"/>
      <c r="C55" s="13" t="str">
        <f t="shared" si="22"/>
        <v/>
      </c>
      <c r="D55" s="13" t="str">
        <f t="shared" si="23"/>
        <v/>
      </c>
      <c r="E55" s="13" t="str">
        <f t="shared" si="24"/>
        <v/>
      </c>
      <c r="F55" s="13" t="str">
        <f t="shared" si="25"/>
        <v/>
      </c>
      <c r="G55" s="13" t="str">
        <f t="shared" si="26"/>
        <v/>
      </c>
      <c r="H55" s="13" t="str">
        <f t="shared" si="27"/>
        <v/>
      </c>
      <c r="J55" s="53" t="str">
        <f t="shared" si="29"/>
        <v/>
      </c>
      <c r="K55" s="53" t="str">
        <f t="shared" si="28"/>
        <v/>
      </c>
      <c r="L55" s="53" t="str">
        <f t="shared" si="28"/>
        <v/>
      </c>
      <c r="M55" s="53" t="str">
        <f t="shared" si="28"/>
        <v/>
      </c>
      <c r="N55" s="53" t="str">
        <f t="shared" si="28"/>
        <v/>
      </c>
      <c r="O55" s="53" t="str">
        <f t="shared" si="28"/>
        <v/>
      </c>
    </row>
    <row r="56" spans="1:17" ht="12.75" customHeight="1" x14ac:dyDescent="0.2">
      <c r="A56" s="14"/>
      <c r="B56" s="15"/>
      <c r="C56" s="13" t="str">
        <f t="shared" si="22"/>
        <v/>
      </c>
      <c r="D56" s="13" t="str">
        <f t="shared" si="23"/>
        <v/>
      </c>
      <c r="E56" s="13" t="str">
        <f t="shared" si="24"/>
        <v/>
      </c>
      <c r="F56" s="13" t="str">
        <f t="shared" si="25"/>
        <v/>
      </c>
      <c r="G56" s="13" t="str">
        <f t="shared" si="26"/>
        <v/>
      </c>
      <c r="H56" s="13" t="str">
        <f t="shared" si="27"/>
        <v/>
      </c>
      <c r="J56" s="53" t="str">
        <f t="shared" si="29"/>
        <v/>
      </c>
      <c r="K56" s="53" t="str">
        <f t="shared" si="28"/>
        <v/>
      </c>
      <c r="L56" s="53" t="str">
        <f t="shared" si="28"/>
        <v/>
      </c>
      <c r="M56" s="53" t="str">
        <f t="shared" si="28"/>
        <v/>
      </c>
      <c r="N56" s="53" t="str">
        <f t="shared" si="28"/>
        <v/>
      </c>
      <c r="O56" s="53" t="str">
        <f t="shared" si="28"/>
        <v/>
      </c>
    </row>
    <row r="57" spans="1:17" ht="12.75" customHeight="1" x14ac:dyDescent="0.2">
      <c r="A57" s="14"/>
      <c r="B57" s="15"/>
      <c r="C57" s="13" t="str">
        <f t="shared" si="22"/>
        <v/>
      </c>
      <c r="D57" s="13" t="str">
        <f t="shared" si="23"/>
        <v/>
      </c>
      <c r="E57" s="13" t="str">
        <f t="shared" si="24"/>
        <v/>
      </c>
      <c r="F57" s="13" t="str">
        <f t="shared" si="25"/>
        <v/>
      </c>
      <c r="G57" s="13" t="str">
        <f t="shared" si="26"/>
        <v/>
      </c>
      <c r="H57" s="13" t="str">
        <f t="shared" si="27"/>
        <v/>
      </c>
      <c r="J57" s="53" t="str">
        <f t="shared" si="29"/>
        <v/>
      </c>
      <c r="K57" s="53" t="str">
        <f t="shared" si="28"/>
        <v/>
      </c>
      <c r="L57" s="53" t="str">
        <f t="shared" si="28"/>
        <v/>
      </c>
      <c r="M57" s="53" t="str">
        <f t="shared" si="28"/>
        <v/>
      </c>
      <c r="N57" s="53" t="str">
        <f t="shared" si="28"/>
        <v/>
      </c>
      <c r="O57" s="53" t="str">
        <f t="shared" si="28"/>
        <v/>
      </c>
    </row>
    <row r="58" spans="1:17" ht="12.75" customHeight="1" x14ac:dyDescent="0.2">
      <c r="A58" s="14"/>
      <c r="B58" s="15"/>
      <c r="C58" s="13" t="str">
        <f t="shared" si="22"/>
        <v/>
      </c>
      <c r="D58" s="13" t="str">
        <f t="shared" si="23"/>
        <v/>
      </c>
      <c r="E58" s="13" t="str">
        <f t="shared" si="24"/>
        <v/>
      </c>
      <c r="F58" s="13" t="str">
        <f t="shared" si="25"/>
        <v/>
      </c>
      <c r="G58" s="13" t="str">
        <f t="shared" si="26"/>
        <v/>
      </c>
      <c r="H58" s="13" t="str">
        <f t="shared" si="27"/>
        <v/>
      </c>
      <c r="J58" s="53" t="str">
        <f t="shared" si="29"/>
        <v/>
      </c>
      <c r="K58" s="53" t="str">
        <f t="shared" si="28"/>
        <v/>
      </c>
      <c r="L58" s="53" t="str">
        <f t="shared" si="28"/>
        <v/>
      </c>
      <c r="M58" s="53" t="str">
        <f t="shared" si="28"/>
        <v/>
      </c>
      <c r="N58" s="53" t="str">
        <f t="shared" si="28"/>
        <v/>
      </c>
      <c r="O58" s="53" t="str">
        <f t="shared" si="28"/>
        <v/>
      </c>
    </row>
    <row r="59" spans="1:17" ht="12.75" customHeight="1" x14ac:dyDescent="0.2">
      <c r="A59" s="14"/>
      <c r="B59" s="15"/>
      <c r="C59" s="13" t="str">
        <f t="shared" si="22"/>
        <v/>
      </c>
      <c r="D59" s="13" t="str">
        <f t="shared" si="23"/>
        <v/>
      </c>
      <c r="E59" s="13" t="str">
        <f t="shared" si="24"/>
        <v/>
      </c>
      <c r="F59" s="13" t="str">
        <f t="shared" si="25"/>
        <v/>
      </c>
      <c r="G59" s="13" t="str">
        <f t="shared" si="26"/>
        <v/>
      </c>
      <c r="H59" s="13" t="str">
        <f t="shared" si="27"/>
        <v/>
      </c>
      <c r="J59" s="53" t="str">
        <f t="shared" si="29"/>
        <v/>
      </c>
      <c r="K59" s="53" t="str">
        <f t="shared" si="28"/>
        <v/>
      </c>
      <c r="L59" s="53" t="str">
        <f t="shared" si="28"/>
        <v/>
      </c>
      <c r="M59" s="53" t="str">
        <f t="shared" si="28"/>
        <v/>
      </c>
      <c r="N59" s="53" t="str">
        <f t="shared" si="28"/>
        <v/>
      </c>
      <c r="O59" s="53" t="str">
        <f t="shared" si="28"/>
        <v/>
      </c>
    </row>
    <row r="60" spans="1:17" ht="12.75" customHeight="1" x14ac:dyDescent="0.2">
      <c r="A60" s="14"/>
      <c r="B60" s="15"/>
      <c r="C60" s="13" t="str">
        <f t="shared" si="22"/>
        <v/>
      </c>
      <c r="D60" s="13" t="str">
        <f t="shared" si="23"/>
        <v/>
      </c>
      <c r="E60" s="13" t="str">
        <f t="shared" si="24"/>
        <v/>
      </c>
      <c r="F60" s="13" t="str">
        <f t="shared" si="25"/>
        <v/>
      </c>
      <c r="G60" s="13" t="str">
        <f t="shared" si="26"/>
        <v/>
      </c>
      <c r="H60" s="13" t="str">
        <f t="shared" si="27"/>
        <v/>
      </c>
      <c r="J60" s="53" t="str">
        <f t="shared" si="29"/>
        <v/>
      </c>
      <c r="K60" s="53" t="str">
        <f t="shared" si="28"/>
        <v/>
      </c>
      <c r="L60" s="53" t="str">
        <f t="shared" si="28"/>
        <v/>
      </c>
      <c r="M60" s="53" t="str">
        <f t="shared" si="28"/>
        <v/>
      </c>
      <c r="N60" s="53" t="str">
        <f t="shared" si="28"/>
        <v/>
      </c>
      <c r="O60" s="53" t="str">
        <f t="shared" si="28"/>
        <v/>
      </c>
    </row>
    <row r="61" spans="1:17" s="4" customFormat="1" ht="15.75" x14ac:dyDescent="0.2">
      <c r="A61" s="4" t="s">
        <v>24</v>
      </c>
      <c r="B61" s="39">
        <f ca="1">IF(COUNT(C61:H61)&gt;0,ROUND(AVERAGE(C61:H61),2),"-")</f>
        <v>0.18</v>
      </c>
      <c r="C61" s="17">
        <f t="shared" ref="C61:H61" ca="1" si="30">IF(J61&lt;&gt;0,J61/Stotal,"-")</f>
        <v>7.1732902048371711E-2</v>
      </c>
      <c r="D61" s="17">
        <f t="shared" ca="1" si="30"/>
        <v>0.12059485002497786</v>
      </c>
      <c r="E61" s="17">
        <f t="shared" ca="1" si="30"/>
        <v>0.17789923468237212</v>
      </c>
      <c r="F61" s="17">
        <f t="shared" ca="1" si="30"/>
        <v>0.21246799198478133</v>
      </c>
      <c r="G61" s="17">
        <f t="shared" ca="1" si="30"/>
        <v>0.22047358226500699</v>
      </c>
      <c r="H61" s="17">
        <f t="shared" ca="1" si="30"/>
        <v>0.25615287789642954</v>
      </c>
      <c r="I61" s="47"/>
      <c r="J61" s="58">
        <f t="shared" ref="J61:O61" ca="1" si="31">SUM(J43:J60)</f>
        <v>14.66429318</v>
      </c>
      <c r="K61" s="58">
        <f t="shared" ca="1" si="31"/>
        <v>24.65309762</v>
      </c>
      <c r="L61" s="58">
        <f t="shared" ca="1" si="31"/>
        <v>36.367781859999994</v>
      </c>
      <c r="M61" s="58">
        <f t="shared" ca="1" si="31"/>
        <v>43.434642079999996</v>
      </c>
      <c r="N61" s="58">
        <f t="shared" ca="1" si="31"/>
        <v>45.071217759999996</v>
      </c>
      <c r="O61" s="58">
        <f t="shared" ca="1" si="31"/>
        <v>52.365104340000002</v>
      </c>
      <c r="P61" s="47"/>
      <c r="Q61" s="47"/>
    </row>
    <row r="62" spans="1:17" x14ac:dyDescent="0.2">
      <c r="A62" s="19" t="s">
        <v>15</v>
      </c>
      <c r="B62" s="20">
        <f ca="1">AVERAGE(C62:H62)</f>
        <v>0.9521809443819419</v>
      </c>
      <c r="C62" s="20">
        <f t="shared" ref="C62:H62" ca="1" si="32">0.163*V/(Stotal*C61)</f>
        <v>1.9425241950706822</v>
      </c>
      <c r="D62" s="20">
        <f t="shared" ca="1" si="32"/>
        <v>1.1554630880401306</v>
      </c>
      <c r="E62" s="20">
        <f t="shared" ca="1" si="32"/>
        <v>0.78326867487870488</v>
      </c>
      <c r="F62" s="20">
        <f t="shared" ca="1" si="32"/>
        <v>0.65583006884904438</v>
      </c>
      <c r="G62" s="20">
        <f t="shared" ca="1" si="32"/>
        <v>0.63201630045684387</v>
      </c>
      <c r="H62" s="20">
        <f t="shared" ca="1" si="32"/>
        <v>0.54398333899624574</v>
      </c>
      <c r="I62" s="47"/>
    </row>
    <row r="63" spans="1:17" s="4" customFormat="1" x14ac:dyDescent="0.2">
      <c r="A63" s="19" t="s">
        <v>42</v>
      </c>
      <c r="B63" s="20">
        <f ca="1">AVERAGE(C63:H63)</f>
        <v>0.21390399920348624</v>
      </c>
      <c r="C63" s="19"/>
      <c r="D63" s="20">
        <f ca="1">K61/V</f>
        <v>0.14106898064262421</v>
      </c>
      <c r="E63" s="20">
        <f ca="1">L61/V</f>
        <v>0.20810228370902462</v>
      </c>
      <c r="F63" s="20">
        <f ca="1">M61/V</f>
        <v>0.24853999190073506</v>
      </c>
      <c r="G63" s="20">
        <f ca="1">N61/V</f>
        <v>0.25790474056156115</v>
      </c>
      <c r="H63" s="22"/>
      <c r="I63" s="47"/>
      <c r="J63" s="59"/>
      <c r="K63" s="47"/>
      <c r="L63" s="47"/>
      <c r="M63" s="47"/>
      <c r="N63" s="47"/>
      <c r="O63" s="47"/>
      <c r="P63" s="47"/>
      <c r="Q63" s="47"/>
    </row>
    <row r="64" spans="1:17" s="4" customFormat="1" x14ac:dyDescent="0.2">
      <c r="A64" s="23"/>
      <c r="B64" s="24"/>
      <c r="C64" s="24"/>
      <c r="D64" s="24"/>
      <c r="E64" s="24"/>
      <c r="F64" s="24"/>
      <c r="G64" s="24"/>
      <c r="H64" s="24"/>
      <c r="I64" s="47"/>
      <c r="J64" s="59"/>
      <c r="K64" s="47"/>
      <c r="L64" s="47"/>
      <c r="M64" s="47"/>
      <c r="N64" s="47"/>
      <c r="O64" s="47"/>
      <c r="P64" s="47"/>
      <c r="Q64" s="47"/>
    </row>
    <row r="65" spans="1:17" s="4" customFormat="1" ht="15.75" x14ac:dyDescent="0.2">
      <c r="A65" s="12" t="s">
        <v>25</v>
      </c>
      <c r="B65" s="21"/>
      <c r="C65" s="17"/>
      <c r="D65" s="17"/>
      <c r="E65" s="17"/>
      <c r="F65" s="17"/>
      <c r="G65" s="17"/>
      <c r="H65" s="17"/>
      <c r="I65" s="47"/>
      <c r="J65" s="57"/>
      <c r="K65" s="57"/>
      <c r="L65" s="57"/>
      <c r="M65" s="57"/>
      <c r="N65" s="57"/>
      <c r="O65" s="57"/>
      <c r="P65" s="47"/>
      <c r="Q65" s="47"/>
    </row>
    <row r="66" spans="1:17" x14ac:dyDescent="0.2">
      <c r="A66" s="14" t="s">
        <v>74</v>
      </c>
      <c r="B66" s="15">
        <v>5</v>
      </c>
      <c r="C66" s="13">
        <f t="shared" ref="C66:C68" ca="1" si="33">IF(ISTEXT($A66),VLOOKUP($A66,Material,2,FALSE),"")</f>
        <v>0.05</v>
      </c>
      <c r="D66" s="13">
        <f t="shared" ref="D66:D68" ca="1" si="34">IF(ISTEXT($A66),VLOOKUP($A66,Material,3,FALSE),"")</f>
        <v>0.1</v>
      </c>
      <c r="E66" s="13">
        <f t="shared" ref="E66:E68" ca="1" si="35">IF(ISTEXT($A66),VLOOKUP($A66,Material,4,FALSE),"")</f>
        <v>0.2</v>
      </c>
      <c r="F66" s="13">
        <f t="shared" ref="F66:F68" ca="1" si="36">IF(ISTEXT($A66),VLOOKUP($A66,Material,5,FALSE),"")</f>
        <v>0.35</v>
      </c>
      <c r="G66" s="13">
        <f t="shared" ref="G66:G68" ca="1" si="37">IF(ISTEXT($A66),VLOOKUP($A66,Material,6,FALSE),"")</f>
        <v>0.5</v>
      </c>
      <c r="H66" s="13">
        <f t="shared" ref="H66:H68" ca="1" si="38">IF(ISTEXT($A66),VLOOKUP($A66,Material,7,FALSE),"")</f>
        <v>0.65</v>
      </c>
      <c r="J66" s="54">
        <f ca="1">IF(ISNUMBER(C66),$B66*C66,"")</f>
        <v>0.25</v>
      </c>
      <c r="K66" s="54">
        <f t="shared" ref="K66:O68" ca="1" si="39">IF(ISNUMBER(D66),$B66*D66,"")</f>
        <v>0.5</v>
      </c>
      <c r="L66" s="54">
        <f t="shared" ca="1" si="39"/>
        <v>1</v>
      </c>
      <c r="M66" s="54">
        <f t="shared" ca="1" si="39"/>
        <v>1.75</v>
      </c>
      <c r="N66" s="54">
        <f t="shared" ca="1" si="39"/>
        <v>2.5</v>
      </c>
      <c r="O66" s="54">
        <f t="shared" ca="1" si="39"/>
        <v>3.25</v>
      </c>
    </row>
    <row r="67" spans="1:17" x14ac:dyDescent="0.2">
      <c r="A67" s="14" t="s">
        <v>68</v>
      </c>
      <c r="B67" s="15">
        <v>5</v>
      </c>
      <c r="C67" s="13">
        <f t="shared" ca="1" si="33"/>
        <v>0.15</v>
      </c>
      <c r="D67" s="13">
        <f t="shared" ca="1" si="34"/>
        <v>0.3</v>
      </c>
      <c r="E67" s="13">
        <f t="shared" ca="1" si="35"/>
        <v>0.4</v>
      </c>
      <c r="F67" s="13">
        <f t="shared" ca="1" si="36"/>
        <v>0.45</v>
      </c>
      <c r="G67" s="13">
        <f t="shared" ca="1" si="37"/>
        <v>0.55000000000000004</v>
      </c>
      <c r="H67" s="13">
        <f t="shared" ca="1" si="38"/>
        <v>0.55000000000000004</v>
      </c>
      <c r="J67" s="54">
        <f ca="1">IF(ISNUMBER(C67),$B67*C67,"")</f>
        <v>0.75</v>
      </c>
      <c r="K67" s="54">
        <f t="shared" ca="1" si="39"/>
        <v>1.5</v>
      </c>
      <c r="L67" s="54">
        <f t="shared" ca="1" si="39"/>
        <v>2</v>
      </c>
      <c r="M67" s="54">
        <f t="shared" ca="1" si="39"/>
        <v>2.25</v>
      </c>
      <c r="N67" s="54">
        <f t="shared" ca="1" si="39"/>
        <v>2.75</v>
      </c>
      <c r="O67" s="54">
        <f t="shared" ca="1" si="39"/>
        <v>2.75</v>
      </c>
    </row>
    <row r="68" spans="1:17" x14ac:dyDescent="0.2">
      <c r="A68" s="14"/>
      <c r="B68" s="15"/>
      <c r="C68" s="13" t="str">
        <f t="shared" si="33"/>
        <v/>
      </c>
      <c r="D68" s="13" t="str">
        <f t="shared" si="34"/>
        <v/>
      </c>
      <c r="E68" s="13" t="str">
        <f t="shared" si="35"/>
        <v/>
      </c>
      <c r="F68" s="13" t="str">
        <f t="shared" si="36"/>
        <v/>
      </c>
      <c r="G68" s="13" t="str">
        <f t="shared" si="37"/>
        <v/>
      </c>
      <c r="H68" s="13" t="str">
        <f t="shared" si="38"/>
        <v/>
      </c>
      <c r="J68" s="54" t="str">
        <f t="shared" ref="J68" si="40">IF(ISNUMBER(C68),$B68*C68,"")</f>
        <v/>
      </c>
      <c r="K68" s="54" t="str">
        <f t="shared" si="39"/>
        <v/>
      </c>
      <c r="L68" s="54" t="str">
        <f t="shared" si="39"/>
        <v/>
      </c>
      <c r="M68" s="54" t="str">
        <f t="shared" si="39"/>
        <v/>
      </c>
      <c r="N68" s="54" t="str">
        <f t="shared" si="39"/>
        <v/>
      </c>
      <c r="O68" s="54" t="str">
        <f t="shared" si="39"/>
        <v/>
      </c>
    </row>
    <row r="69" spans="1:17" s="4" customFormat="1" ht="15.75" x14ac:dyDescent="0.2">
      <c r="A69" s="4" t="s">
        <v>24</v>
      </c>
      <c r="B69" s="39">
        <f ca="1">IF(COUNT(C69:H69)&gt;0,ROUND(AVERAGE(C69:H69),2),"-")</f>
        <v>0.19</v>
      </c>
      <c r="C69" s="17">
        <f t="shared" ref="C69:H69" ca="1" si="41">IF(J69&lt;&gt;0,J69/Stotal,"-")</f>
        <v>7.662457334598359E-2</v>
      </c>
      <c r="D69" s="17">
        <f t="shared" ca="1" si="41"/>
        <v>0.13037819262020164</v>
      </c>
      <c r="E69" s="17">
        <f t="shared" ca="1" si="41"/>
        <v>0.19257424857520777</v>
      </c>
      <c r="F69" s="17">
        <f t="shared" ca="1" si="41"/>
        <v>0.23203467717522888</v>
      </c>
      <c r="G69" s="17">
        <f t="shared" ca="1" si="41"/>
        <v>0.24615485657746938</v>
      </c>
      <c r="H69" s="17">
        <f t="shared" ca="1" si="41"/>
        <v>0.28550290568210085</v>
      </c>
      <c r="I69" s="47"/>
      <c r="J69" s="58">
        <f t="shared" ref="J69:O69" ca="1" si="42">SUM(J61:J68)</f>
        <v>15.66429318</v>
      </c>
      <c r="K69" s="58">
        <f t="shared" ca="1" si="42"/>
        <v>26.65309762</v>
      </c>
      <c r="L69" s="58">
        <f t="shared" ca="1" si="42"/>
        <v>39.367781859999994</v>
      </c>
      <c r="M69" s="58">
        <f t="shared" ca="1" si="42"/>
        <v>47.434642079999996</v>
      </c>
      <c r="N69" s="58">
        <f t="shared" ca="1" si="42"/>
        <v>50.321217759999996</v>
      </c>
      <c r="O69" s="58">
        <f t="shared" ca="1" si="42"/>
        <v>58.365104340000002</v>
      </c>
      <c r="P69" s="47"/>
      <c r="Q69" s="47"/>
    </row>
    <row r="70" spans="1:17" x14ac:dyDescent="0.2">
      <c r="A70" s="19" t="s">
        <v>15</v>
      </c>
      <c r="B70" s="20">
        <f ca="1">AVERAGE(C70:H70)</f>
        <v>0.87758657676741725</v>
      </c>
      <c r="C70" s="20">
        <f t="shared" ref="C70:H70" ca="1" si="43">0.163*V/(Stotal*C69)</f>
        <v>1.8185145016393263</v>
      </c>
      <c r="D70" s="20">
        <f t="shared" ca="1" si="43"/>
        <v>1.0687592381151527</v>
      </c>
      <c r="E70" s="20">
        <f t="shared" ca="1" si="43"/>
        <v>0.72358011957750679</v>
      </c>
      <c r="F70" s="20">
        <f t="shared" ca="1" si="43"/>
        <v>0.60052617784525297</v>
      </c>
      <c r="G70" s="20">
        <f t="shared" ca="1" si="43"/>
        <v>0.566078198695802</v>
      </c>
      <c r="H70" s="20">
        <f t="shared" ca="1" si="43"/>
        <v>0.48806122473146246</v>
      </c>
      <c r="I70" s="47"/>
    </row>
    <row r="71" spans="1:17" s="4" customFormat="1" x14ac:dyDescent="0.2">
      <c r="A71" s="19" t="s">
        <v>42</v>
      </c>
      <c r="B71" s="20">
        <f ca="1">AVERAGE(C71:H71)</f>
        <v>0.23428919587474129</v>
      </c>
      <c r="C71" s="19"/>
      <c r="D71" s="20">
        <f ca="1">K69/V</f>
        <v>0.15251330158087265</v>
      </c>
      <c r="E71" s="20">
        <f ca="1">L69/V</f>
        <v>0.22526876511639723</v>
      </c>
      <c r="F71" s="20">
        <f ca="1">M69/V</f>
        <v>0.27142863377723192</v>
      </c>
      <c r="G71" s="20">
        <f ca="1">N69/V</f>
        <v>0.28794608302446328</v>
      </c>
      <c r="H71" s="22"/>
      <c r="I71" s="47"/>
      <c r="J71" s="59"/>
      <c r="K71" s="47"/>
      <c r="L71" s="47"/>
      <c r="M71" s="47"/>
      <c r="N71" s="47"/>
      <c r="O71" s="47"/>
      <c r="P71" s="47"/>
      <c r="Q71" s="47"/>
    </row>
    <row r="72" spans="1:17" s="4" customFormat="1" x14ac:dyDescent="0.2">
      <c r="A72" s="23"/>
      <c r="B72" s="24"/>
      <c r="C72" s="24"/>
      <c r="D72" s="24"/>
      <c r="E72" s="24"/>
      <c r="F72" s="24"/>
      <c r="G72" s="24"/>
      <c r="H72" s="24"/>
      <c r="I72" s="47"/>
      <c r="J72" s="59"/>
      <c r="K72" s="47"/>
      <c r="L72" s="47"/>
      <c r="M72" s="47"/>
      <c r="N72" s="47"/>
      <c r="O72" s="47"/>
      <c r="P72" s="47"/>
      <c r="Q72" s="47"/>
    </row>
    <row r="73" spans="1:17" s="4" customFormat="1" ht="15.75" x14ac:dyDescent="0.2">
      <c r="A73" s="12" t="s">
        <v>57</v>
      </c>
      <c r="B73" s="21"/>
      <c r="C73" s="17"/>
      <c r="D73" s="17"/>
      <c r="E73" s="17"/>
      <c r="F73" s="17"/>
      <c r="G73" s="17"/>
      <c r="H73" s="17"/>
      <c r="I73" s="47"/>
      <c r="J73" s="57"/>
      <c r="K73" s="57"/>
      <c r="L73" s="57"/>
      <c r="M73" s="57"/>
      <c r="N73" s="57"/>
      <c r="O73" s="57"/>
      <c r="P73" s="47"/>
      <c r="Q73" s="47"/>
    </row>
    <row r="74" spans="1:17" x14ac:dyDescent="0.2">
      <c r="A74" s="14" t="s">
        <v>114</v>
      </c>
      <c r="B74" s="15"/>
      <c r="C74" s="13">
        <f t="shared" ref="C74:C75" ca="1" si="44">IF(ISTEXT($A74),VLOOKUP($A74,Material,2,FALSE),"")</f>
        <v>1.59</v>
      </c>
      <c r="D74" s="13">
        <f t="shared" ref="D74:D75" ca="1" si="45">IF(ISTEXT($A74),VLOOKUP($A74,Material,3,FALSE),"")</f>
        <v>1.1200000000000001</v>
      </c>
      <c r="E74" s="13">
        <f t="shared" ref="E74:E75" ca="1" si="46">IF(ISTEXT($A74),VLOOKUP($A74,Material,4,FALSE),"")</f>
        <v>0.76</v>
      </c>
      <c r="F74" s="13">
        <f t="shared" ref="F74:F75" ca="1" si="47">IF(ISTEXT($A74),VLOOKUP($A74,Material,5,FALSE),"")</f>
        <v>0.37</v>
      </c>
      <c r="G74" s="13">
        <f t="shared" ref="G74:G75" ca="1" si="48">IF(ISTEXT($A74),VLOOKUP($A74,Material,6,FALSE),"")</f>
        <v>0.18</v>
      </c>
      <c r="H74" s="13">
        <f t="shared" ref="H74:H75" ca="1" si="49">IF(ISTEXT($A74),VLOOKUP($A74,Material,7,FALSE),"")</f>
        <v>0.23</v>
      </c>
      <c r="J74" s="54">
        <f ca="1">IF(ISNUMBER(C74),$B74*C74,"")</f>
        <v>0</v>
      </c>
      <c r="K74" s="54">
        <f t="shared" ref="K74:O75" ca="1" si="50">IF(ISNUMBER(D74),$B74*D74,"")</f>
        <v>0</v>
      </c>
      <c r="L74" s="54">
        <f t="shared" ca="1" si="50"/>
        <v>0</v>
      </c>
      <c r="M74" s="54">
        <f t="shared" ca="1" si="50"/>
        <v>0</v>
      </c>
      <c r="N74" s="54">
        <f t="shared" ca="1" si="50"/>
        <v>0</v>
      </c>
      <c r="O74" s="54">
        <f t="shared" ca="1" si="50"/>
        <v>0</v>
      </c>
    </row>
    <row r="75" spans="1:17" x14ac:dyDescent="0.2">
      <c r="A75" s="14"/>
      <c r="B75" s="15"/>
      <c r="C75" s="13" t="str">
        <f t="shared" si="44"/>
        <v/>
      </c>
      <c r="D75" s="13" t="str">
        <f t="shared" si="45"/>
        <v/>
      </c>
      <c r="E75" s="13" t="str">
        <f t="shared" si="46"/>
        <v/>
      </c>
      <c r="F75" s="13" t="str">
        <f t="shared" si="47"/>
        <v/>
      </c>
      <c r="G75" s="13" t="str">
        <f t="shared" si="48"/>
        <v/>
      </c>
      <c r="H75" s="13" t="str">
        <f t="shared" si="49"/>
        <v/>
      </c>
      <c r="J75" s="54" t="str">
        <f>IF(ISNUMBER(C75),$B75*C75,"")</f>
        <v/>
      </c>
      <c r="K75" s="54" t="str">
        <f t="shared" si="50"/>
        <v/>
      </c>
      <c r="L75" s="54" t="str">
        <f t="shared" si="50"/>
        <v/>
      </c>
      <c r="M75" s="54" t="str">
        <f t="shared" si="50"/>
        <v/>
      </c>
      <c r="N75" s="54" t="str">
        <f t="shared" si="50"/>
        <v/>
      </c>
      <c r="O75" s="54" t="str">
        <f t="shared" si="50"/>
        <v/>
      </c>
    </row>
    <row r="76" spans="1:17" s="4" customFormat="1" ht="15.75" x14ac:dyDescent="0.2">
      <c r="A76" s="4" t="s">
        <v>24</v>
      </c>
      <c r="B76" s="39">
        <f ca="1">IF(COUNT(C76:H76)&gt;0,ROUND(AVERAGE(C76:H76),2),"-")</f>
        <v>0.19</v>
      </c>
      <c r="C76" s="17">
        <f t="shared" ref="C76:H76" ca="1" si="51">IF(J76&lt;&gt;0,J76/Stotal,"-")</f>
        <v>7.662457334598359E-2</v>
      </c>
      <c r="D76" s="17">
        <f t="shared" ca="1" si="51"/>
        <v>0.13037819262020164</v>
      </c>
      <c r="E76" s="17">
        <f t="shared" ca="1" si="51"/>
        <v>0.19257424857520777</v>
      </c>
      <c r="F76" s="17">
        <f t="shared" ca="1" si="51"/>
        <v>0.23203467717522888</v>
      </c>
      <c r="G76" s="17">
        <f t="shared" ca="1" si="51"/>
        <v>0.24615485657746938</v>
      </c>
      <c r="H76" s="17">
        <f t="shared" ca="1" si="51"/>
        <v>0.28550290568210085</v>
      </c>
      <c r="I76" s="47"/>
      <c r="J76" s="58">
        <f t="shared" ref="J76:O76" ca="1" si="52">SUM(J69:J75)</f>
        <v>15.66429318</v>
      </c>
      <c r="K76" s="58">
        <f t="shared" ca="1" si="52"/>
        <v>26.65309762</v>
      </c>
      <c r="L76" s="58">
        <f t="shared" ca="1" si="52"/>
        <v>39.367781859999994</v>
      </c>
      <c r="M76" s="58">
        <f t="shared" ca="1" si="52"/>
        <v>47.434642079999996</v>
      </c>
      <c r="N76" s="58">
        <f t="shared" ca="1" si="52"/>
        <v>50.321217759999996</v>
      </c>
      <c r="O76" s="58">
        <f t="shared" ca="1" si="52"/>
        <v>58.365104340000002</v>
      </c>
      <c r="P76" s="47"/>
      <c r="Q76" s="47"/>
    </row>
    <row r="77" spans="1:17" x14ac:dyDescent="0.2">
      <c r="A77" s="19" t="s">
        <v>15</v>
      </c>
      <c r="B77" s="20">
        <f ca="1">AVERAGE(C77:H77)</f>
        <v>0.87758657676741725</v>
      </c>
      <c r="C77" s="20">
        <f t="shared" ref="C77:H77" ca="1" si="53">0.163*V/(Stotal*C76)</f>
        <v>1.8185145016393263</v>
      </c>
      <c r="D77" s="20">
        <f t="shared" ca="1" si="53"/>
        <v>1.0687592381151527</v>
      </c>
      <c r="E77" s="20">
        <f t="shared" ca="1" si="53"/>
        <v>0.72358011957750679</v>
      </c>
      <c r="F77" s="20">
        <f t="shared" ca="1" si="53"/>
        <v>0.60052617784525297</v>
      </c>
      <c r="G77" s="20">
        <f t="shared" ca="1" si="53"/>
        <v>0.566078198695802</v>
      </c>
      <c r="H77" s="20">
        <f t="shared" ca="1" si="53"/>
        <v>0.48806122473146246</v>
      </c>
      <c r="I77" s="47"/>
    </row>
    <row r="78" spans="1:17" s="4" customFormat="1" x14ac:dyDescent="0.2">
      <c r="A78" s="19" t="s">
        <v>42</v>
      </c>
      <c r="B78" s="20">
        <f ca="1">AVERAGE(C78:H78)</f>
        <v>0.23428919587474129</v>
      </c>
      <c r="C78" s="19"/>
      <c r="D78" s="20">
        <f ca="1">K76/V</f>
        <v>0.15251330158087265</v>
      </c>
      <c r="E78" s="20">
        <f ca="1">L76/V</f>
        <v>0.22526876511639723</v>
      </c>
      <c r="F78" s="20">
        <f ca="1">M76/V</f>
        <v>0.27142863377723192</v>
      </c>
      <c r="G78" s="20">
        <f ca="1">N76/V</f>
        <v>0.28794608302446328</v>
      </c>
      <c r="H78" s="22"/>
      <c r="I78" s="47"/>
      <c r="J78" s="59"/>
      <c r="K78" s="47"/>
      <c r="L78" s="47"/>
      <c r="M78" s="47"/>
      <c r="N78" s="47"/>
      <c r="O78" s="47"/>
      <c r="P78" s="47"/>
      <c r="Q78" s="47"/>
    </row>
    <row r="79" spans="1:17" s="4" customFormat="1" x14ac:dyDescent="0.2">
      <c r="A79" s="23"/>
      <c r="B79" s="24"/>
      <c r="C79" s="24"/>
      <c r="D79" s="24"/>
      <c r="E79" s="24"/>
      <c r="F79" s="24"/>
      <c r="G79" s="24"/>
      <c r="H79" s="24"/>
      <c r="I79" s="47"/>
      <c r="J79" s="59"/>
      <c r="K79" s="47"/>
      <c r="L79" s="47"/>
      <c r="M79" s="47"/>
      <c r="N79" s="47"/>
      <c r="O79" s="47"/>
      <c r="P79" s="47"/>
      <c r="Q79" s="47"/>
    </row>
    <row r="80" spans="1:17" s="4" customFormat="1" x14ac:dyDescent="0.2">
      <c r="A80" s="23"/>
      <c r="B80" s="24"/>
      <c r="C80" s="24"/>
      <c r="D80" s="24"/>
      <c r="E80" s="24"/>
      <c r="F80" s="24"/>
      <c r="G80" s="24"/>
      <c r="H80" s="24"/>
      <c r="I80" s="47"/>
      <c r="J80" s="59"/>
      <c r="K80" s="47"/>
      <c r="L80" s="47"/>
      <c r="M80" s="47"/>
      <c r="N80" s="47"/>
      <c r="O80" s="47"/>
      <c r="P80" s="47"/>
      <c r="Q80" s="47"/>
    </row>
    <row r="81" spans="1:17" s="4" customFormat="1" x14ac:dyDescent="0.2">
      <c r="A81" s="23"/>
      <c r="B81" s="24"/>
      <c r="C81" s="24"/>
      <c r="D81" s="24"/>
      <c r="E81" s="24"/>
      <c r="F81" s="24"/>
      <c r="G81" s="24"/>
      <c r="H81" s="24"/>
      <c r="I81" s="47"/>
      <c r="J81" s="59"/>
      <c r="K81" s="47"/>
      <c r="L81" s="47"/>
      <c r="M81" s="47"/>
      <c r="N81" s="47"/>
      <c r="O81" s="47"/>
      <c r="P81" s="47"/>
      <c r="Q81" s="47"/>
    </row>
    <row r="82" spans="1:17" s="4" customFormat="1" x14ac:dyDescent="0.2">
      <c r="A82" s="23"/>
      <c r="B82" s="24"/>
      <c r="C82" s="24"/>
      <c r="D82" s="24"/>
      <c r="E82" s="24"/>
      <c r="F82" s="24"/>
      <c r="G82" s="24"/>
      <c r="H82" s="24"/>
      <c r="I82" s="47"/>
      <c r="J82" s="59"/>
      <c r="K82" s="47"/>
      <c r="L82" s="47"/>
      <c r="M82" s="47"/>
      <c r="N82" s="47"/>
      <c r="O82" s="47"/>
      <c r="P82" s="47"/>
      <c r="Q82" s="47"/>
    </row>
    <row r="83" spans="1:17" s="4" customFormat="1" x14ac:dyDescent="0.2">
      <c r="A83" s="23"/>
      <c r="B83" s="24"/>
      <c r="C83" s="24"/>
      <c r="D83" s="24"/>
      <c r="E83" s="24"/>
      <c r="F83" s="24"/>
      <c r="G83" s="24"/>
      <c r="H83" s="24"/>
      <c r="I83" s="47"/>
      <c r="J83" s="59"/>
      <c r="K83" s="47"/>
      <c r="L83" s="47"/>
      <c r="M83" s="47"/>
      <c r="N83" s="47"/>
      <c r="O83" s="47"/>
      <c r="P83" s="47"/>
      <c r="Q83" s="47"/>
    </row>
    <row r="84" spans="1:17" s="4" customFormat="1" x14ac:dyDescent="0.2">
      <c r="A84" s="23"/>
      <c r="B84" s="24"/>
      <c r="C84" s="24"/>
      <c r="D84" s="24"/>
      <c r="E84" s="24"/>
      <c r="F84" s="24"/>
      <c r="G84" s="24"/>
      <c r="H84" s="24"/>
      <c r="I84" s="47"/>
      <c r="J84" s="59"/>
      <c r="K84" s="47"/>
      <c r="L84" s="47"/>
      <c r="M84" s="47"/>
      <c r="N84" s="47"/>
      <c r="O84" s="47"/>
      <c r="P84" s="47"/>
      <c r="Q84" s="47"/>
    </row>
    <row r="85" spans="1:17" s="4" customFormat="1" x14ac:dyDescent="0.2">
      <c r="A85" s="23"/>
      <c r="B85" s="24"/>
      <c r="C85" s="24"/>
      <c r="D85" s="24"/>
      <c r="E85" s="24"/>
      <c r="F85" s="24"/>
      <c r="G85" s="24"/>
      <c r="H85" s="24"/>
      <c r="I85" s="47"/>
      <c r="J85" s="59"/>
      <c r="K85" s="47"/>
      <c r="L85" s="47"/>
      <c r="M85" s="47"/>
      <c r="N85" s="47"/>
      <c r="O85" s="47"/>
      <c r="P85" s="47"/>
      <c r="Q85" s="47"/>
    </row>
    <row r="86" spans="1:17" s="4" customFormat="1" x14ac:dyDescent="0.2">
      <c r="A86" s="23"/>
      <c r="B86" s="24"/>
      <c r="C86" s="24"/>
      <c r="D86" s="24"/>
      <c r="E86" s="24"/>
      <c r="F86" s="24"/>
      <c r="G86" s="24"/>
      <c r="H86" s="24"/>
      <c r="I86" s="47"/>
      <c r="J86" s="59"/>
      <c r="K86" s="47"/>
      <c r="L86" s="47"/>
      <c r="M86" s="47"/>
      <c r="N86" s="47"/>
      <c r="O86" s="47"/>
      <c r="P86" s="47"/>
      <c r="Q86" s="47"/>
    </row>
    <row r="87" spans="1:17" s="4" customFormat="1" x14ac:dyDescent="0.2">
      <c r="A87" s="23"/>
      <c r="B87" s="24"/>
      <c r="C87" s="24"/>
      <c r="D87" s="24"/>
      <c r="E87" s="24"/>
      <c r="F87" s="24"/>
      <c r="G87" s="24"/>
      <c r="H87" s="24"/>
      <c r="I87" s="47"/>
      <c r="J87" s="59"/>
      <c r="K87" s="47"/>
      <c r="L87" s="47"/>
      <c r="M87" s="47"/>
      <c r="N87" s="47"/>
      <c r="O87" s="47"/>
      <c r="P87" s="47"/>
      <c r="Q87" s="47"/>
    </row>
    <row r="88" spans="1:17" s="4" customFormat="1" x14ac:dyDescent="0.2">
      <c r="A88" s="23"/>
      <c r="B88" s="24"/>
      <c r="C88" s="24"/>
      <c r="D88" s="24"/>
      <c r="E88" s="24"/>
      <c r="F88" s="24"/>
      <c r="G88" s="24"/>
      <c r="H88" s="24"/>
      <c r="I88" s="47"/>
      <c r="J88" s="59"/>
      <c r="K88" s="47"/>
      <c r="L88" s="47"/>
      <c r="M88" s="47"/>
      <c r="N88" s="47"/>
      <c r="O88" s="47"/>
      <c r="P88" s="47"/>
      <c r="Q88" s="47"/>
    </row>
    <row r="89" spans="1:17" s="4" customFormat="1" x14ac:dyDescent="0.2">
      <c r="A89" s="23"/>
      <c r="B89" s="24"/>
      <c r="C89" s="24"/>
      <c r="D89" s="24"/>
      <c r="E89" s="24"/>
      <c r="F89" s="24"/>
      <c r="G89" s="24"/>
      <c r="H89" s="24"/>
      <c r="I89" s="47"/>
      <c r="J89" s="59"/>
      <c r="K89" s="47"/>
      <c r="L89" s="47"/>
      <c r="M89" s="47"/>
      <c r="N89" s="47"/>
      <c r="O89" s="47"/>
      <c r="P89" s="47"/>
      <c r="Q89" s="47"/>
    </row>
    <row r="90" spans="1:17" s="4" customFormat="1" x14ac:dyDescent="0.2">
      <c r="A90" s="23"/>
      <c r="B90" s="24"/>
      <c r="C90" s="24"/>
      <c r="D90" s="24"/>
      <c r="E90" s="24"/>
      <c r="F90" s="24"/>
      <c r="G90" s="24"/>
      <c r="H90" s="24"/>
      <c r="I90" s="47"/>
      <c r="J90" s="59"/>
      <c r="K90" s="47"/>
      <c r="L90" s="47"/>
      <c r="M90" s="47"/>
      <c r="N90" s="47"/>
      <c r="O90" s="47"/>
      <c r="P90" s="47"/>
      <c r="Q90" s="47"/>
    </row>
    <row r="91" spans="1:17" s="4" customFormat="1" x14ac:dyDescent="0.2">
      <c r="A91" s="23"/>
      <c r="B91" s="24"/>
      <c r="C91" s="24"/>
      <c r="D91" s="24"/>
      <c r="E91" s="24"/>
      <c r="F91" s="24"/>
      <c r="G91" s="24"/>
      <c r="H91" s="24"/>
      <c r="I91" s="47"/>
      <c r="J91" s="59"/>
      <c r="K91" s="47"/>
      <c r="L91" s="47"/>
      <c r="M91" s="47"/>
      <c r="N91" s="47"/>
      <c r="O91" s="47"/>
      <c r="P91" s="47"/>
      <c r="Q91" s="47"/>
    </row>
    <row r="92" spans="1:17" s="4" customFormat="1" x14ac:dyDescent="0.2">
      <c r="A92" s="23"/>
      <c r="B92" s="24"/>
      <c r="C92" s="24"/>
      <c r="D92" s="24"/>
      <c r="E92" s="24"/>
      <c r="F92" s="24"/>
      <c r="G92" s="24"/>
      <c r="H92" s="24"/>
      <c r="I92" s="47"/>
      <c r="J92" s="59"/>
      <c r="K92" s="47"/>
      <c r="L92" s="47"/>
      <c r="M92" s="47"/>
      <c r="N92" s="47"/>
      <c r="O92" s="47"/>
      <c r="P92" s="47"/>
      <c r="Q92" s="47"/>
    </row>
    <row r="93" spans="1:17" s="4" customFormat="1" x14ac:dyDescent="0.2">
      <c r="A93" s="23"/>
      <c r="B93" s="24"/>
      <c r="C93" s="24"/>
      <c r="D93" s="24"/>
      <c r="E93" s="24"/>
      <c r="F93" s="24"/>
      <c r="G93" s="24"/>
      <c r="H93" s="24"/>
      <c r="I93" s="47"/>
      <c r="J93" s="59"/>
      <c r="K93" s="47"/>
      <c r="L93" s="47"/>
      <c r="M93" s="47"/>
      <c r="N93" s="47"/>
      <c r="O93" s="47"/>
      <c r="P93" s="47"/>
      <c r="Q93" s="47"/>
    </row>
    <row r="94" spans="1:17" s="4" customFormat="1" x14ac:dyDescent="0.2">
      <c r="A94" s="23"/>
      <c r="B94" s="24"/>
      <c r="C94" s="24"/>
      <c r="D94" s="24"/>
      <c r="E94" s="24"/>
      <c r="F94" s="24"/>
      <c r="G94" s="24"/>
      <c r="H94" s="24"/>
      <c r="I94" s="47"/>
      <c r="J94" s="59"/>
      <c r="K94" s="47"/>
      <c r="L94" s="47"/>
      <c r="M94" s="47"/>
      <c r="N94" s="47"/>
      <c r="O94" s="47"/>
      <c r="P94" s="47"/>
      <c r="Q94" s="47"/>
    </row>
    <row r="95" spans="1:17" s="4" customFormat="1" x14ac:dyDescent="0.2">
      <c r="A95" s="23"/>
      <c r="B95" s="24"/>
      <c r="C95" s="24"/>
      <c r="D95" s="24"/>
      <c r="E95" s="24"/>
      <c r="F95" s="24"/>
      <c r="G95" s="24"/>
      <c r="H95" s="24"/>
      <c r="I95" s="47"/>
      <c r="J95" s="59"/>
      <c r="K95" s="47"/>
      <c r="L95" s="47"/>
      <c r="M95" s="47"/>
      <c r="N95" s="47"/>
      <c r="O95" s="47"/>
      <c r="P95" s="47"/>
      <c r="Q95" s="47"/>
    </row>
    <row r="96" spans="1:17" s="4" customFormat="1" x14ac:dyDescent="0.2">
      <c r="A96" s="23"/>
      <c r="B96" s="24"/>
      <c r="C96" s="24"/>
      <c r="D96" s="24"/>
      <c r="E96" s="24"/>
      <c r="F96" s="24"/>
      <c r="G96" s="24"/>
      <c r="H96" s="24"/>
      <c r="I96" s="47"/>
      <c r="J96" s="59"/>
      <c r="K96" s="47"/>
      <c r="L96" s="47"/>
      <c r="M96" s="47"/>
      <c r="N96" s="47"/>
      <c r="O96" s="47"/>
      <c r="P96" s="47"/>
      <c r="Q96" s="47"/>
    </row>
    <row r="97" spans="1:17" s="4" customFormat="1" x14ac:dyDescent="0.2">
      <c r="A97" s="23"/>
      <c r="B97" s="24"/>
      <c r="C97" s="24"/>
      <c r="D97" s="24"/>
      <c r="E97" s="24"/>
      <c r="F97" s="24"/>
      <c r="G97" s="24"/>
      <c r="H97" s="24"/>
      <c r="I97" s="47"/>
      <c r="J97" s="59"/>
      <c r="K97" s="47"/>
      <c r="L97" s="47"/>
      <c r="M97" s="47"/>
      <c r="N97" s="47"/>
      <c r="O97" s="47"/>
      <c r="P97" s="47"/>
      <c r="Q97" s="47"/>
    </row>
    <row r="98" spans="1:17" s="4" customFormat="1" x14ac:dyDescent="0.2">
      <c r="A98" s="23"/>
      <c r="B98" s="24"/>
      <c r="C98" s="24"/>
      <c r="D98" s="24"/>
      <c r="E98" s="24"/>
      <c r="F98" s="24"/>
      <c r="G98" s="24"/>
      <c r="H98" s="24"/>
      <c r="I98" s="47"/>
      <c r="J98" s="59"/>
      <c r="K98" s="47"/>
      <c r="L98" s="47"/>
      <c r="M98" s="47"/>
      <c r="N98" s="47"/>
      <c r="O98" s="47"/>
      <c r="P98" s="47"/>
      <c r="Q98" s="47"/>
    </row>
    <row r="99" spans="1:17" s="4" customFormat="1" x14ac:dyDescent="0.2">
      <c r="A99" s="23"/>
      <c r="B99" s="24"/>
      <c r="C99" s="24"/>
      <c r="D99" s="24"/>
      <c r="E99" s="24"/>
      <c r="F99" s="24"/>
      <c r="G99" s="24"/>
      <c r="H99" s="24"/>
      <c r="I99" s="47"/>
      <c r="J99" s="59"/>
      <c r="K99" s="47"/>
      <c r="L99" s="47"/>
      <c r="M99" s="47"/>
      <c r="N99" s="47"/>
      <c r="O99" s="47"/>
      <c r="P99" s="47"/>
      <c r="Q99" s="47"/>
    </row>
    <row r="100" spans="1:17" s="4" customFormat="1" x14ac:dyDescent="0.2">
      <c r="A100" s="23"/>
      <c r="B100" s="24"/>
      <c r="C100" s="24"/>
      <c r="D100" s="24"/>
      <c r="E100" s="24"/>
      <c r="F100" s="24"/>
      <c r="G100" s="24"/>
      <c r="H100" s="24"/>
      <c r="I100" s="47"/>
      <c r="J100" s="59"/>
      <c r="K100" s="47"/>
      <c r="L100" s="47"/>
      <c r="M100" s="47"/>
      <c r="N100" s="47"/>
      <c r="O100" s="47"/>
      <c r="P100" s="47"/>
      <c r="Q100" s="47"/>
    </row>
    <row r="101" spans="1:17" s="4" customFormat="1" x14ac:dyDescent="0.2">
      <c r="A101" s="23"/>
      <c r="B101" s="24"/>
      <c r="C101" s="24"/>
      <c r="D101" s="24"/>
      <c r="E101" s="24"/>
      <c r="F101" s="24"/>
      <c r="G101" s="24"/>
      <c r="H101" s="24"/>
      <c r="I101" s="47"/>
      <c r="J101" s="59"/>
      <c r="K101" s="47"/>
      <c r="L101" s="47"/>
      <c r="M101" s="47"/>
      <c r="N101" s="47"/>
      <c r="O101" s="47"/>
      <c r="P101" s="47"/>
      <c r="Q101" s="47"/>
    </row>
    <row r="102" spans="1:17" s="4" customFormat="1" x14ac:dyDescent="0.2">
      <c r="A102" s="23"/>
      <c r="B102" s="24"/>
      <c r="C102" s="24"/>
      <c r="D102" s="24"/>
      <c r="E102" s="24"/>
      <c r="F102" s="24"/>
      <c r="G102" s="24"/>
      <c r="H102" s="24"/>
      <c r="I102" s="47"/>
      <c r="J102" s="59"/>
      <c r="K102" s="47"/>
      <c r="L102" s="47"/>
      <c r="M102" s="47"/>
      <c r="N102" s="47"/>
      <c r="O102" s="47"/>
      <c r="P102" s="47"/>
      <c r="Q102" s="47"/>
    </row>
    <row r="103" spans="1:17" s="4" customFormat="1" x14ac:dyDescent="0.2">
      <c r="A103" s="23"/>
      <c r="B103" s="24"/>
      <c r="C103" s="24"/>
      <c r="D103" s="24"/>
      <c r="E103" s="24"/>
      <c r="F103" s="24"/>
      <c r="G103" s="24"/>
      <c r="H103" s="24"/>
      <c r="I103" s="47"/>
      <c r="J103" s="59"/>
      <c r="K103" s="47"/>
      <c r="L103" s="47"/>
      <c r="M103" s="47"/>
      <c r="N103" s="47"/>
      <c r="O103" s="47"/>
      <c r="P103" s="47"/>
      <c r="Q103" s="47"/>
    </row>
    <row r="104" spans="1:17" s="4" customFormat="1" x14ac:dyDescent="0.2">
      <c r="A104" s="23"/>
      <c r="B104" s="24"/>
      <c r="C104" s="24"/>
      <c r="D104" s="24"/>
      <c r="E104" s="24"/>
      <c r="F104" s="24"/>
      <c r="G104" s="24"/>
      <c r="H104" s="24"/>
      <c r="I104" s="47"/>
      <c r="J104" s="59"/>
      <c r="K104" s="47"/>
      <c r="L104" s="47"/>
      <c r="M104" s="47"/>
      <c r="N104" s="47"/>
      <c r="O104" s="47"/>
      <c r="P104" s="47"/>
      <c r="Q104" s="47"/>
    </row>
    <row r="105" spans="1:17" s="4" customFormat="1" x14ac:dyDescent="0.2">
      <c r="A105" s="23"/>
      <c r="B105" s="24"/>
      <c r="C105" s="24"/>
      <c r="D105" s="24"/>
      <c r="E105" s="24"/>
      <c r="F105" s="24"/>
      <c r="G105" s="24"/>
      <c r="H105" s="24"/>
      <c r="I105" s="47"/>
      <c r="J105" s="59"/>
      <c r="K105" s="47"/>
      <c r="L105" s="47"/>
      <c r="M105" s="47"/>
      <c r="N105" s="47"/>
      <c r="O105" s="47"/>
      <c r="P105" s="47"/>
      <c r="Q105" s="47"/>
    </row>
    <row r="106" spans="1:17" s="4" customFormat="1" x14ac:dyDescent="0.2">
      <c r="A106" s="23"/>
      <c r="B106" s="24"/>
      <c r="C106" s="24"/>
      <c r="D106" s="24"/>
      <c r="E106" s="24"/>
      <c r="F106" s="24"/>
      <c r="G106" s="24"/>
      <c r="H106" s="24"/>
      <c r="I106" s="47"/>
      <c r="J106" s="59"/>
      <c r="K106" s="47"/>
      <c r="L106" s="47"/>
      <c r="M106" s="47"/>
      <c r="N106" s="47"/>
      <c r="O106" s="47"/>
      <c r="P106" s="47"/>
      <c r="Q106" s="47"/>
    </row>
    <row r="107" spans="1:17" s="4" customFormat="1" x14ac:dyDescent="0.2">
      <c r="A107" s="23"/>
      <c r="B107" s="24"/>
      <c r="C107" s="24"/>
      <c r="D107" s="24"/>
      <c r="E107" s="24"/>
      <c r="F107" s="24"/>
      <c r="G107" s="24"/>
      <c r="H107" s="24"/>
      <c r="I107" s="47"/>
      <c r="J107" s="59"/>
      <c r="K107" s="47"/>
      <c r="L107" s="47"/>
      <c r="M107" s="47"/>
      <c r="N107" s="47"/>
      <c r="O107" s="47"/>
      <c r="P107" s="47"/>
      <c r="Q107" s="47"/>
    </row>
    <row r="108" spans="1:17" s="4" customFormat="1" x14ac:dyDescent="0.2">
      <c r="A108" s="23"/>
      <c r="B108" s="24"/>
      <c r="C108" s="24"/>
      <c r="D108" s="24"/>
      <c r="E108" s="24"/>
      <c r="F108" s="24"/>
      <c r="G108" s="24"/>
      <c r="H108" s="24"/>
      <c r="I108" s="47"/>
      <c r="J108" s="59"/>
      <c r="K108" s="47"/>
      <c r="L108" s="47"/>
      <c r="M108" s="47"/>
      <c r="N108" s="47"/>
      <c r="O108" s="47"/>
      <c r="P108" s="47"/>
      <c r="Q108" s="47"/>
    </row>
    <row r="109" spans="1:17" s="4" customFormat="1" x14ac:dyDescent="0.2">
      <c r="A109" s="23"/>
      <c r="B109" s="24"/>
      <c r="C109" s="24"/>
      <c r="D109" s="24"/>
      <c r="E109" s="24"/>
      <c r="F109" s="24"/>
      <c r="G109" s="24"/>
      <c r="H109" s="24"/>
      <c r="I109" s="47"/>
      <c r="J109" s="59"/>
      <c r="K109" s="47"/>
      <c r="L109" s="47"/>
      <c r="M109" s="47"/>
      <c r="N109" s="47"/>
      <c r="O109" s="47"/>
      <c r="P109" s="47"/>
      <c r="Q109" s="47"/>
    </row>
    <row r="110" spans="1:17" s="4" customFormat="1" x14ac:dyDescent="0.2">
      <c r="A110" s="23"/>
      <c r="B110" s="24"/>
      <c r="C110" s="24"/>
      <c r="D110" s="24"/>
      <c r="E110" s="24"/>
      <c r="F110" s="24"/>
      <c r="G110" s="24"/>
      <c r="H110" s="24"/>
      <c r="I110" s="47"/>
      <c r="J110" s="59"/>
      <c r="K110" s="47"/>
      <c r="L110" s="47"/>
      <c r="M110" s="47"/>
      <c r="N110" s="47"/>
      <c r="O110" s="47"/>
      <c r="P110" s="47"/>
      <c r="Q110" s="47"/>
    </row>
    <row r="111" spans="1:17" s="4" customFormat="1" x14ac:dyDescent="0.2">
      <c r="A111" s="23"/>
      <c r="B111" s="24"/>
      <c r="C111" s="24"/>
      <c r="D111" s="24"/>
      <c r="E111" s="24"/>
      <c r="F111" s="24"/>
      <c r="G111" s="24"/>
      <c r="H111" s="24"/>
      <c r="I111" s="47"/>
      <c r="J111" s="59"/>
      <c r="K111" s="47"/>
      <c r="L111" s="47"/>
      <c r="M111" s="47"/>
      <c r="N111" s="47"/>
      <c r="O111" s="47"/>
      <c r="P111" s="47"/>
      <c r="Q111" s="47"/>
    </row>
    <row r="112" spans="1:17" s="4" customFormat="1" x14ac:dyDescent="0.2">
      <c r="A112" s="23"/>
      <c r="B112" s="24"/>
      <c r="C112" s="24"/>
      <c r="D112" s="24"/>
      <c r="E112" s="24"/>
      <c r="F112" s="24"/>
      <c r="G112" s="24"/>
      <c r="H112" s="24"/>
      <c r="I112" s="47"/>
      <c r="J112" s="59"/>
      <c r="K112" s="47"/>
      <c r="L112" s="47"/>
      <c r="M112" s="47"/>
      <c r="N112" s="47"/>
      <c r="O112" s="47"/>
      <c r="P112" s="47"/>
      <c r="Q112" s="47"/>
    </row>
    <row r="113" spans="1:17" s="4" customFormat="1" x14ac:dyDescent="0.2">
      <c r="A113" s="23"/>
      <c r="B113" s="24"/>
      <c r="C113" s="24"/>
      <c r="D113" s="24"/>
      <c r="E113" s="24"/>
      <c r="F113" s="24"/>
      <c r="G113" s="24"/>
      <c r="H113" s="24"/>
      <c r="I113" s="47"/>
      <c r="J113" s="59"/>
      <c r="K113" s="47"/>
      <c r="L113" s="47"/>
      <c r="M113" s="47"/>
      <c r="N113" s="47"/>
      <c r="O113" s="47"/>
      <c r="P113" s="47"/>
      <c r="Q113" s="47"/>
    </row>
    <row r="114" spans="1:17" s="4" customFormat="1" x14ac:dyDescent="0.2">
      <c r="A114" s="23"/>
      <c r="B114" s="24"/>
      <c r="C114" s="24"/>
      <c r="D114" s="24"/>
      <c r="E114" s="24"/>
      <c r="F114" s="24"/>
      <c r="G114" s="24"/>
      <c r="H114" s="24"/>
      <c r="I114" s="47"/>
      <c r="J114" s="59"/>
      <c r="K114" s="47"/>
      <c r="L114" s="47"/>
      <c r="M114" s="47"/>
      <c r="N114" s="47"/>
      <c r="O114" s="47"/>
      <c r="P114" s="47"/>
      <c r="Q114" s="47"/>
    </row>
    <row r="115" spans="1:17" s="4" customFormat="1" x14ac:dyDescent="0.2">
      <c r="A115" s="23"/>
      <c r="B115" s="24"/>
      <c r="C115" s="24"/>
      <c r="D115" s="24"/>
      <c r="E115" s="24"/>
      <c r="F115" s="24"/>
      <c r="G115" s="24"/>
      <c r="H115" s="24"/>
      <c r="I115" s="47"/>
      <c r="J115" s="59"/>
      <c r="K115" s="47"/>
      <c r="L115" s="47"/>
      <c r="M115" s="47"/>
      <c r="N115" s="47"/>
      <c r="O115" s="47"/>
      <c r="P115" s="47"/>
      <c r="Q115" s="47"/>
    </row>
    <row r="116" spans="1:17" s="4" customFormat="1" x14ac:dyDescent="0.2">
      <c r="A116" s="23"/>
      <c r="B116" s="24"/>
      <c r="C116" s="24"/>
      <c r="D116" s="24"/>
      <c r="E116" s="24"/>
      <c r="F116" s="24"/>
      <c r="G116" s="24"/>
      <c r="H116" s="24"/>
      <c r="I116" s="47"/>
      <c r="J116" s="59"/>
      <c r="K116" s="47"/>
      <c r="L116" s="47"/>
      <c r="M116" s="47"/>
      <c r="N116" s="47"/>
      <c r="O116" s="47"/>
      <c r="P116" s="47"/>
      <c r="Q116" s="47"/>
    </row>
    <row r="117" spans="1:17" s="4" customFormat="1" x14ac:dyDescent="0.2">
      <c r="A117" s="23"/>
      <c r="B117" s="24"/>
      <c r="C117" s="24"/>
      <c r="D117" s="24"/>
      <c r="E117" s="24"/>
      <c r="F117" s="24"/>
      <c r="G117" s="24"/>
      <c r="H117" s="24"/>
      <c r="I117" s="47"/>
      <c r="J117" s="59"/>
      <c r="K117" s="47"/>
      <c r="L117" s="47"/>
      <c r="M117" s="47"/>
      <c r="N117" s="47"/>
      <c r="O117" s="47"/>
      <c r="P117" s="47"/>
      <c r="Q117" s="47"/>
    </row>
    <row r="118" spans="1:17" s="4" customFormat="1" x14ac:dyDescent="0.2">
      <c r="A118" s="23"/>
      <c r="B118" s="24"/>
      <c r="C118" s="24"/>
      <c r="D118" s="24"/>
      <c r="E118" s="24"/>
      <c r="F118" s="24"/>
      <c r="G118" s="24"/>
      <c r="H118" s="24"/>
      <c r="I118" s="47"/>
      <c r="J118" s="59"/>
      <c r="K118" s="47"/>
      <c r="L118" s="47"/>
      <c r="M118" s="47"/>
      <c r="N118" s="47"/>
      <c r="O118" s="47"/>
      <c r="P118" s="47"/>
      <c r="Q118" s="47"/>
    </row>
    <row r="119" spans="1:17" s="4" customFormat="1" x14ac:dyDescent="0.2">
      <c r="A119" s="23"/>
      <c r="B119" s="24"/>
      <c r="C119" s="24"/>
      <c r="D119" s="24"/>
      <c r="E119" s="24"/>
      <c r="F119" s="24"/>
      <c r="G119" s="24"/>
      <c r="H119" s="24"/>
      <c r="I119" s="47"/>
      <c r="J119" s="59"/>
      <c r="K119" s="47"/>
      <c r="L119" s="47"/>
      <c r="M119" s="47"/>
      <c r="N119" s="47"/>
      <c r="O119" s="47"/>
      <c r="P119" s="47"/>
      <c r="Q119" s="47"/>
    </row>
    <row r="120" spans="1:17" s="4" customFormat="1" x14ac:dyDescent="0.2">
      <c r="A120" s="23"/>
      <c r="B120" s="24"/>
      <c r="C120" s="24"/>
      <c r="D120" s="24"/>
      <c r="E120" s="24"/>
      <c r="F120" s="24"/>
      <c r="G120" s="24"/>
      <c r="H120" s="24"/>
      <c r="I120" s="47"/>
      <c r="J120" s="59"/>
      <c r="K120" s="47"/>
      <c r="L120" s="47"/>
      <c r="M120" s="47"/>
      <c r="N120" s="47"/>
      <c r="O120" s="47"/>
      <c r="P120" s="47"/>
      <c r="Q120" s="47"/>
    </row>
    <row r="121" spans="1:17" s="4" customFormat="1" x14ac:dyDescent="0.2">
      <c r="A121" s="23"/>
      <c r="B121" s="24"/>
      <c r="C121" s="24"/>
      <c r="D121" s="24"/>
      <c r="E121" s="24"/>
      <c r="F121" s="24"/>
      <c r="G121" s="24"/>
      <c r="H121" s="24"/>
      <c r="I121" s="47"/>
      <c r="J121" s="59"/>
      <c r="K121" s="47"/>
      <c r="L121" s="47"/>
      <c r="M121" s="47"/>
      <c r="N121" s="47"/>
      <c r="O121" s="47"/>
      <c r="P121" s="47"/>
      <c r="Q121" s="47"/>
    </row>
    <row r="122" spans="1:17" s="4" customFormat="1" x14ac:dyDescent="0.2">
      <c r="A122" s="23"/>
      <c r="B122" s="24"/>
      <c r="C122" s="24"/>
      <c r="D122" s="24"/>
      <c r="E122" s="24"/>
      <c r="F122" s="24"/>
      <c r="G122" s="24"/>
      <c r="H122" s="24"/>
      <c r="I122" s="47"/>
      <c r="J122" s="59"/>
      <c r="K122" s="47"/>
      <c r="L122" s="47"/>
      <c r="M122" s="47"/>
      <c r="N122" s="47"/>
      <c r="O122" s="47"/>
      <c r="P122" s="47"/>
      <c r="Q122" s="47"/>
    </row>
    <row r="123" spans="1:17" s="4" customFormat="1" x14ac:dyDescent="0.2">
      <c r="A123" s="23"/>
      <c r="B123" s="24"/>
      <c r="C123" s="24"/>
      <c r="D123" s="24"/>
      <c r="E123" s="24"/>
      <c r="F123" s="24"/>
      <c r="G123" s="24"/>
      <c r="H123" s="24"/>
      <c r="I123" s="47"/>
      <c r="J123" s="59"/>
      <c r="K123" s="47"/>
      <c r="L123" s="47"/>
      <c r="M123" s="47"/>
      <c r="N123" s="47"/>
      <c r="O123" s="47"/>
      <c r="P123" s="47"/>
      <c r="Q123" s="47"/>
    </row>
    <row r="124" spans="1:17" s="4" customFormat="1" x14ac:dyDescent="0.2">
      <c r="A124" s="23"/>
      <c r="B124" s="24"/>
      <c r="C124" s="24"/>
      <c r="D124" s="24"/>
      <c r="E124" s="24"/>
      <c r="F124" s="24"/>
      <c r="G124" s="24"/>
      <c r="H124" s="24"/>
      <c r="I124" s="47"/>
      <c r="J124" s="59"/>
      <c r="K124" s="47"/>
      <c r="L124" s="47"/>
      <c r="M124" s="47"/>
      <c r="N124" s="47"/>
      <c r="O124" s="47"/>
      <c r="P124" s="47"/>
      <c r="Q124" s="47"/>
    </row>
    <row r="125" spans="1:17" s="4" customFormat="1" x14ac:dyDescent="0.2">
      <c r="A125" s="23"/>
      <c r="B125" s="24"/>
      <c r="C125" s="24"/>
      <c r="D125" s="24"/>
      <c r="E125" s="24"/>
      <c r="F125" s="24"/>
      <c r="G125" s="24"/>
      <c r="H125" s="24"/>
      <c r="I125" s="47"/>
      <c r="J125" s="59"/>
      <c r="K125" s="47"/>
      <c r="L125" s="47"/>
      <c r="M125" s="47"/>
      <c r="N125" s="47"/>
      <c r="O125" s="47"/>
      <c r="P125" s="47"/>
      <c r="Q125" s="47"/>
    </row>
    <row r="126" spans="1:17" s="4" customFormat="1" x14ac:dyDescent="0.2">
      <c r="A126" s="23"/>
      <c r="B126" s="24"/>
      <c r="C126" s="24"/>
      <c r="D126" s="24"/>
      <c r="E126" s="24"/>
      <c r="F126" s="24"/>
      <c r="G126" s="24"/>
      <c r="H126" s="24"/>
      <c r="I126" s="47"/>
      <c r="J126" s="59"/>
      <c r="K126" s="47"/>
      <c r="L126" s="47"/>
      <c r="M126" s="47"/>
      <c r="N126" s="47"/>
      <c r="O126" s="47"/>
      <c r="P126" s="47"/>
      <c r="Q126" s="47"/>
    </row>
    <row r="127" spans="1:17" s="4" customFormat="1" x14ac:dyDescent="0.2">
      <c r="A127" s="23"/>
      <c r="B127" s="24"/>
      <c r="C127" s="24"/>
      <c r="D127" s="24"/>
      <c r="E127" s="24"/>
      <c r="F127" s="24"/>
      <c r="G127" s="24"/>
      <c r="H127" s="24"/>
      <c r="I127" s="47"/>
      <c r="J127" s="59"/>
      <c r="K127" s="47"/>
      <c r="L127" s="47"/>
      <c r="M127" s="47"/>
      <c r="N127" s="47"/>
      <c r="O127" s="47"/>
      <c r="P127" s="47"/>
      <c r="Q127" s="47"/>
    </row>
    <row r="128" spans="1:17" s="4" customFormat="1" x14ac:dyDescent="0.2">
      <c r="A128" s="23"/>
      <c r="B128" s="24"/>
      <c r="C128" s="24"/>
      <c r="D128" s="24"/>
      <c r="E128" s="24"/>
      <c r="F128" s="24"/>
      <c r="G128" s="24"/>
      <c r="H128" s="24"/>
      <c r="I128" s="47"/>
      <c r="J128" s="59"/>
      <c r="K128" s="47"/>
      <c r="L128" s="47"/>
      <c r="M128" s="47"/>
      <c r="N128" s="47"/>
      <c r="O128" s="47"/>
      <c r="P128" s="47"/>
      <c r="Q128" s="47"/>
    </row>
    <row r="129" spans="1:17" s="4" customFormat="1" x14ac:dyDescent="0.2">
      <c r="A129" s="140"/>
      <c r="B129" s="141"/>
      <c r="C129" s="141"/>
      <c r="D129" s="141"/>
      <c r="E129" s="141"/>
      <c r="F129" s="141"/>
      <c r="G129" s="141"/>
      <c r="H129" s="141"/>
      <c r="I129" s="47"/>
      <c r="J129" s="59"/>
      <c r="K129" s="47"/>
      <c r="L129" s="47"/>
      <c r="M129" s="47"/>
      <c r="N129" s="47"/>
      <c r="O129" s="47"/>
      <c r="P129" s="47"/>
      <c r="Q129" s="47"/>
    </row>
    <row r="130" spans="1:17" s="4" customFormat="1" x14ac:dyDescent="0.2">
      <c r="A130" s="140"/>
      <c r="B130" s="141"/>
      <c r="C130" s="141"/>
      <c r="D130" s="141"/>
      <c r="E130" s="141"/>
      <c r="F130" s="141"/>
      <c r="G130" s="141"/>
      <c r="H130" s="141"/>
      <c r="I130" s="47"/>
      <c r="J130" s="59"/>
      <c r="K130" s="47"/>
      <c r="L130" s="47"/>
      <c r="M130" s="47"/>
      <c r="N130" s="47"/>
      <c r="O130" s="47"/>
      <c r="P130" s="47"/>
      <c r="Q130" s="47"/>
    </row>
    <row r="131" spans="1:17" s="4" customFormat="1" x14ac:dyDescent="0.2">
      <c r="A131" s="142" t="s">
        <v>58</v>
      </c>
      <c r="B131" s="141"/>
      <c r="C131" s="141"/>
      <c r="D131" s="141"/>
      <c r="E131" s="141"/>
      <c r="F131" s="141"/>
      <c r="G131" s="141"/>
      <c r="H131" s="141"/>
      <c r="I131" s="47"/>
      <c r="J131" s="59"/>
      <c r="K131" s="47"/>
      <c r="L131" s="47"/>
      <c r="M131" s="47"/>
      <c r="N131" s="47"/>
      <c r="O131" s="47"/>
      <c r="P131" s="47"/>
      <c r="Q131" s="47"/>
    </row>
    <row r="132" spans="1:17" s="4" customFormat="1" x14ac:dyDescent="0.2">
      <c r="A132" s="140"/>
      <c r="B132" s="141"/>
      <c r="C132" s="141"/>
      <c r="D132" s="141"/>
      <c r="E132" s="141"/>
      <c r="F132" s="141"/>
      <c r="G132" s="141"/>
      <c r="H132" s="141"/>
      <c r="I132" s="47"/>
      <c r="J132" s="59"/>
      <c r="K132" s="47"/>
      <c r="L132" s="47"/>
      <c r="M132" s="47"/>
      <c r="N132" s="47"/>
      <c r="O132" s="47"/>
      <c r="P132" s="47"/>
      <c r="Q132" s="47"/>
    </row>
    <row r="133" spans="1:17" s="4" customFormat="1" x14ac:dyDescent="0.2">
      <c r="A133" s="140"/>
      <c r="B133" s="141"/>
      <c r="C133" s="141"/>
      <c r="D133" s="141"/>
      <c r="E133" s="141"/>
      <c r="F133" s="141"/>
      <c r="G133" s="141"/>
      <c r="H133" s="141"/>
      <c r="I133" s="47"/>
      <c r="J133" s="59"/>
      <c r="K133" s="47"/>
      <c r="L133" s="47"/>
      <c r="M133" s="47"/>
      <c r="N133" s="47"/>
      <c r="O133" s="47"/>
      <c r="P133" s="47"/>
      <c r="Q133" s="47"/>
    </row>
    <row r="134" spans="1:17" s="4" customFormat="1" x14ac:dyDescent="0.2">
      <c r="A134" s="140"/>
      <c r="B134" s="141"/>
      <c r="C134" s="141"/>
      <c r="D134" s="141"/>
      <c r="E134" s="141"/>
      <c r="F134" s="141"/>
      <c r="G134" s="141"/>
      <c r="H134" s="141"/>
      <c r="I134" s="47"/>
      <c r="J134" s="59"/>
      <c r="K134" s="47"/>
      <c r="L134" s="47"/>
      <c r="M134" s="47"/>
      <c r="N134" s="47"/>
      <c r="O134" s="47"/>
      <c r="P134" s="47"/>
      <c r="Q134" s="47"/>
    </row>
    <row r="135" spans="1:17" s="4" customFormat="1" x14ac:dyDescent="0.2">
      <c r="A135" s="140"/>
      <c r="B135" s="141"/>
      <c r="C135" s="141"/>
      <c r="D135" s="141"/>
      <c r="E135" s="141"/>
      <c r="F135" s="141"/>
      <c r="G135" s="141"/>
      <c r="H135" s="141"/>
      <c r="I135" s="47"/>
      <c r="J135" s="59"/>
      <c r="K135" s="47"/>
      <c r="L135" s="47"/>
      <c r="M135" s="47"/>
      <c r="N135" s="47"/>
      <c r="O135" s="47"/>
      <c r="P135" s="47"/>
      <c r="Q135" s="47"/>
    </row>
    <row r="136" spans="1:17" s="4" customFormat="1" x14ac:dyDescent="0.2">
      <c r="A136" s="140"/>
      <c r="B136" s="141"/>
      <c r="C136" s="141"/>
      <c r="D136" s="141"/>
      <c r="E136" s="141"/>
      <c r="F136" s="141"/>
      <c r="G136" s="141"/>
      <c r="H136" s="141"/>
      <c r="I136" s="47"/>
      <c r="J136" s="59"/>
      <c r="K136" s="47"/>
      <c r="L136" s="47"/>
      <c r="M136" s="47"/>
      <c r="N136" s="47"/>
      <c r="O136" s="47"/>
      <c r="P136" s="47"/>
      <c r="Q136" s="47"/>
    </row>
    <row r="137" spans="1:17" s="4" customFormat="1" x14ac:dyDescent="0.2">
      <c r="A137" s="140"/>
      <c r="B137" s="141"/>
      <c r="C137" s="141"/>
      <c r="D137" s="141"/>
      <c r="E137" s="141"/>
      <c r="F137" s="141"/>
      <c r="G137" s="141"/>
      <c r="H137" s="141"/>
      <c r="I137" s="47"/>
      <c r="J137" s="59"/>
      <c r="K137" s="47"/>
      <c r="L137" s="47"/>
      <c r="M137" s="47"/>
      <c r="N137" s="47"/>
      <c r="O137" s="47"/>
      <c r="P137" s="47"/>
      <c r="Q137" s="47"/>
    </row>
    <row r="138" spans="1:17" x14ac:dyDescent="0.2">
      <c r="A138" s="144"/>
      <c r="B138" s="144"/>
      <c r="C138" s="144"/>
      <c r="D138" s="144"/>
      <c r="E138" s="144"/>
      <c r="F138" s="144"/>
      <c r="G138" s="144"/>
      <c r="H138" s="144"/>
    </row>
    <row r="139" spans="1:17" s="4" customFormat="1" x14ac:dyDescent="0.2">
      <c r="A139" s="140"/>
      <c r="B139" s="141"/>
      <c r="C139" s="141"/>
      <c r="D139" s="141"/>
      <c r="E139" s="141"/>
      <c r="F139" s="141"/>
      <c r="G139" s="141"/>
      <c r="H139" s="141"/>
      <c r="I139" s="47"/>
      <c r="J139" s="59"/>
      <c r="K139" s="47"/>
      <c r="L139" s="47"/>
      <c r="M139" s="47"/>
      <c r="N139" s="47"/>
      <c r="O139" s="47"/>
      <c r="P139" s="47"/>
      <c r="Q139" s="47"/>
    </row>
    <row r="140" spans="1:17" s="4" customFormat="1" x14ac:dyDescent="0.2">
      <c r="A140" s="140"/>
      <c r="B140" s="141"/>
      <c r="C140" s="141"/>
      <c r="D140" s="141"/>
      <c r="E140" s="141"/>
      <c r="F140" s="141"/>
      <c r="G140" s="141"/>
      <c r="H140" s="141"/>
      <c r="I140" s="47"/>
      <c r="J140" s="59"/>
      <c r="K140" s="47"/>
      <c r="L140" s="47"/>
      <c r="M140" s="47"/>
      <c r="N140" s="47"/>
      <c r="O140" s="47"/>
      <c r="P140" s="47"/>
      <c r="Q140" s="47"/>
    </row>
    <row r="141" spans="1:17" s="4" customFormat="1" x14ac:dyDescent="0.2">
      <c r="A141" s="140"/>
      <c r="B141" s="141"/>
      <c r="C141" s="141"/>
      <c r="D141" s="141"/>
      <c r="E141" s="141"/>
      <c r="F141" s="141"/>
      <c r="G141" s="141"/>
      <c r="H141" s="141"/>
      <c r="I141" s="47"/>
      <c r="J141" s="59"/>
      <c r="K141" s="47"/>
      <c r="L141" s="47"/>
      <c r="M141" s="47"/>
      <c r="N141" s="47"/>
      <c r="O141" s="47"/>
      <c r="P141" s="47"/>
      <c r="Q141" s="47"/>
    </row>
    <row r="142" spans="1:17" s="4" customFormat="1" x14ac:dyDescent="0.2">
      <c r="A142" s="140"/>
      <c r="B142" s="141"/>
      <c r="C142" s="141"/>
      <c r="D142" s="141"/>
      <c r="E142" s="141"/>
      <c r="F142" s="141"/>
      <c r="G142" s="141"/>
      <c r="H142" s="141"/>
      <c r="I142" s="47"/>
      <c r="J142" s="59"/>
      <c r="K142" s="47"/>
      <c r="L142" s="47"/>
      <c r="M142" s="47"/>
      <c r="N142" s="47"/>
      <c r="O142" s="47"/>
      <c r="P142" s="47"/>
      <c r="Q142" s="47"/>
    </row>
    <row r="143" spans="1:17" s="4" customFormat="1" x14ac:dyDescent="0.2">
      <c r="A143" s="140"/>
      <c r="B143" s="141"/>
      <c r="C143" s="141"/>
      <c r="D143" s="141"/>
      <c r="E143" s="141"/>
      <c r="F143" s="141"/>
      <c r="G143" s="141"/>
      <c r="H143" s="141"/>
      <c r="I143" s="47"/>
      <c r="J143" s="59"/>
      <c r="K143" s="47"/>
      <c r="L143" s="47"/>
      <c r="M143" s="47"/>
      <c r="N143" s="47"/>
      <c r="O143" s="47"/>
      <c r="P143" s="47"/>
      <c r="Q143" s="47"/>
    </row>
    <row r="144" spans="1:17" s="4" customFormat="1" x14ac:dyDescent="0.2">
      <c r="A144" s="140"/>
      <c r="B144" s="141"/>
      <c r="C144" s="141"/>
      <c r="D144" s="141"/>
      <c r="E144" s="141"/>
      <c r="F144" s="141"/>
      <c r="G144" s="141"/>
      <c r="H144" s="141"/>
      <c r="I144" s="47"/>
      <c r="J144" s="59"/>
      <c r="K144" s="47"/>
      <c r="L144" s="47"/>
      <c r="M144" s="47"/>
      <c r="N144" s="47"/>
      <c r="O144" s="47"/>
      <c r="P144" s="47"/>
      <c r="Q144" s="47"/>
    </row>
    <row r="145" spans="1:17" s="4" customFormat="1" x14ac:dyDescent="0.2">
      <c r="A145" s="140"/>
      <c r="B145" s="141"/>
      <c r="C145" s="141"/>
      <c r="D145" s="141"/>
      <c r="E145" s="141"/>
      <c r="F145" s="141"/>
      <c r="G145" s="141"/>
      <c r="H145" s="141"/>
      <c r="I145" s="47"/>
      <c r="J145" s="59"/>
      <c r="K145" s="47"/>
      <c r="L145" s="47"/>
      <c r="M145" s="47"/>
      <c r="N145" s="47"/>
      <c r="O145" s="47"/>
      <c r="P145" s="47"/>
      <c r="Q145" s="47"/>
    </row>
    <row r="146" spans="1:17" s="4" customFormat="1" x14ac:dyDescent="0.2">
      <c r="A146" s="140"/>
      <c r="B146" s="141"/>
      <c r="C146" s="141"/>
      <c r="D146" s="141"/>
      <c r="E146" s="141"/>
      <c r="F146" s="141"/>
      <c r="G146" s="141"/>
      <c r="H146" s="141"/>
      <c r="I146" s="47"/>
      <c r="J146" s="59"/>
      <c r="K146" s="47"/>
      <c r="L146" s="47"/>
      <c r="M146" s="47"/>
      <c r="N146" s="47"/>
      <c r="O146" s="47"/>
      <c r="P146" s="47"/>
      <c r="Q146" s="47"/>
    </row>
    <row r="147" spans="1:17" s="4" customFormat="1" x14ac:dyDescent="0.2">
      <c r="A147" s="140"/>
      <c r="B147" s="141"/>
      <c r="C147" s="141"/>
      <c r="D147" s="141"/>
      <c r="E147" s="141"/>
      <c r="F147" s="141"/>
      <c r="G147" s="141"/>
      <c r="H147" s="141"/>
      <c r="I147" s="47"/>
      <c r="J147" s="59"/>
      <c r="K147" s="47"/>
      <c r="L147" s="47"/>
      <c r="M147" s="47"/>
      <c r="N147" s="47"/>
      <c r="O147" s="47"/>
      <c r="P147" s="47"/>
      <c r="Q147" s="47"/>
    </row>
    <row r="148" spans="1:17" s="4" customFormat="1" x14ac:dyDescent="0.2">
      <c r="A148" s="140"/>
      <c r="B148" s="141"/>
      <c r="C148" s="141"/>
      <c r="D148" s="141"/>
      <c r="E148" s="141"/>
      <c r="F148" s="141"/>
      <c r="G148" s="141"/>
      <c r="H148" s="141"/>
      <c r="I148" s="47"/>
      <c r="J148" s="59"/>
      <c r="K148" s="47"/>
      <c r="L148" s="47"/>
      <c r="M148" s="47"/>
      <c r="N148" s="60"/>
      <c r="O148" s="47"/>
      <c r="P148" s="47"/>
      <c r="Q148" s="47"/>
    </row>
    <row r="149" spans="1:17" s="4" customFormat="1" x14ac:dyDescent="0.2">
      <c r="A149" s="140"/>
      <c r="B149" s="141"/>
      <c r="C149" s="141"/>
      <c r="D149" s="141"/>
      <c r="E149" s="141"/>
      <c r="F149" s="141"/>
      <c r="G149" s="141"/>
      <c r="H149" s="141"/>
      <c r="I149" s="47"/>
      <c r="J149" s="59"/>
      <c r="K149" s="47"/>
      <c r="L149" s="47"/>
      <c r="M149" s="47"/>
      <c r="N149" s="47"/>
      <c r="O149" s="47"/>
      <c r="P149" s="47"/>
      <c r="Q149" s="47"/>
    </row>
    <row r="150" spans="1:17" s="4" customFormat="1" x14ac:dyDescent="0.2">
      <c r="A150" s="140"/>
      <c r="B150" s="141"/>
      <c r="C150" s="141"/>
      <c r="D150" s="141"/>
      <c r="E150" s="141"/>
      <c r="F150" s="141"/>
      <c r="G150" s="141"/>
      <c r="H150" s="141"/>
      <c r="I150" s="47"/>
      <c r="J150" s="59"/>
      <c r="K150" s="47"/>
      <c r="L150" s="47"/>
      <c r="M150" s="47"/>
      <c r="N150" s="47"/>
      <c r="O150" s="47"/>
      <c r="P150" s="47"/>
      <c r="Q150" s="47"/>
    </row>
    <row r="151" spans="1:17" s="4" customFormat="1" x14ac:dyDescent="0.2">
      <c r="A151" s="140"/>
      <c r="B151" s="141"/>
      <c r="C151" s="141"/>
      <c r="D151" s="141"/>
      <c r="E151" s="141"/>
      <c r="F151" s="141"/>
      <c r="G151" s="141"/>
      <c r="H151" s="141"/>
      <c r="I151" s="47"/>
      <c r="J151" s="59"/>
      <c r="K151" s="47"/>
      <c r="L151" s="47"/>
      <c r="M151" s="47"/>
      <c r="N151" s="47"/>
      <c r="O151" s="47"/>
      <c r="P151" s="47"/>
      <c r="Q151" s="47"/>
    </row>
    <row r="152" spans="1:17" s="4" customFormat="1" x14ac:dyDescent="0.2">
      <c r="A152" s="140"/>
      <c r="B152" s="141"/>
      <c r="C152" s="141"/>
      <c r="D152" s="141"/>
      <c r="E152" s="141"/>
      <c r="F152" s="141"/>
      <c r="G152" s="141"/>
      <c r="H152" s="141"/>
      <c r="I152" s="47"/>
      <c r="J152" s="59"/>
      <c r="K152" s="47"/>
      <c r="L152" s="47"/>
      <c r="M152" s="47"/>
      <c r="N152" s="47"/>
      <c r="O152" s="47"/>
      <c r="P152" s="47"/>
      <c r="Q152" s="47"/>
    </row>
    <row r="153" spans="1:17" s="4" customFormat="1" x14ac:dyDescent="0.2">
      <c r="A153" s="140"/>
      <c r="B153" s="141"/>
      <c r="C153" s="141"/>
      <c r="D153" s="141"/>
      <c r="E153" s="141"/>
      <c r="F153" s="141"/>
      <c r="G153" s="141"/>
      <c r="H153" s="141"/>
      <c r="I153" s="47"/>
      <c r="J153" s="59"/>
      <c r="K153" s="47"/>
      <c r="L153" s="47"/>
      <c r="M153" s="47"/>
      <c r="N153" s="47"/>
      <c r="O153" s="47"/>
      <c r="P153" s="47"/>
      <c r="Q153" s="47"/>
    </row>
    <row r="154" spans="1:17" s="4" customFormat="1" x14ac:dyDescent="0.2">
      <c r="A154" s="23"/>
      <c r="B154" s="24"/>
      <c r="C154" s="24"/>
      <c r="D154" s="24"/>
      <c r="E154" s="24"/>
      <c r="F154" s="24"/>
      <c r="G154" s="24"/>
      <c r="H154" s="24"/>
      <c r="I154" s="47"/>
      <c r="J154" s="59"/>
      <c r="K154" s="47"/>
      <c r="L154" s="47"/>
      <c r="M154" s="47"/>
      <c r="N154" s="47"/>
      <c r="O154" s="47"/>
      <c r="P154" s="47"/>
      <c r="Q154" s="47"/>
    </row>
    <row r="155" spans="1:17" s="4" customFormat="1" x14ac:dyDescent="0.2">
      <c r="A155" s="23"/>
      <c r="B155" s="24"/>
      <c r="C155" s="24"/>
      <c r="D155" s="24"/>
      <c r="E155" s="24"/>
      <c r="F155" s="24"/>
      <c r="G155" s="24"/>
      <c r="H155" s="24"/>
      <c r="I155" s="47"/>
      <c r="J155" s="59"/>
      <c r="K155" s="47"/>
      <c r="L155" s="47"/>
      <c r="M155" s="47"/>
      <c r="N155" s="47"/>
      <c r="O155" s="47"/>
      <c r="P155" s="47"/>
      <c r="Q155" s="47"/>
    </row>
    <row r="156" spans="1:17" s="4" customFormat="1" x14ac:dyDescent="0.2">
      <c r="A156" s="23"/>
      <c r="B156" s="24"/>
      <c r="C156" s="24"/>
      <c r="D156" s="24"/>
      <c r="E156" s="24"/>
      <c r="F156" s="24"/>
      <c r="G156" s="24"/>
      <c r="H156" s="24"/>
      <c r="I156" s="47"/>
      <c r="J156" s="59"/>
      <c r="K156" s="47"/>
      <c r="L156" s="47"/>
      <c r="M156" s="47"/>
      <c r="N156" s="47"/>
      <c r="O156" s="47"/>
      <c r="P156" s="47"/>
      <c r="Q156" s="47"/>
    </row>
    <row r="157" spans="1:17" s="4" customFormat="1" x14ac:dyDescent="0.2">
      <c r="A157" s="23"/>
      <c r="B157" s="24"/>
      <c r="C157" s="24"/>
      <c r="D157" s="24"/>
      <c r="E157" s="24"/>
      <c r="F157" s="24"/>
      <c r="G157" s="24"/>
      <c r="H157" s="24"/>
      <c r="I157" s="47"/>
      <c r="J157" s="59"/>
      <c r="K157" s="47"/>
      <c r="L157" s="47"/>
      <c r="M157" s="47"/>
      <c r="N157" s="47"/>
      <c r="O157" s="47"/>
      <c r="P157" s="47"/>
      <c r="Q157" s="47"/>
    </row>
    <row r="158" spans="1:17" s="4" customFormat="1" x14ac:dyDescent="0.2">
      <c r="A158" s="23"/>
      <c r="B158" s="24"/>
      <c r="C158" s="24"/>
      <c r="D158" s="24"/>
      <c r="E158" s="24"/>
      <c r="F158" s="24"/>
      <c r="G158" s="24"/>
      <c r="H158" s="24"/>
      <c r="I158" s="47"/>
      <c r="J158" s="59"/>
      <c r="K158" s="47"/>
      <c r="L158" s="47"/>
      <c r="M158" s="47"/>
      <c r="N158" s="47"/>
      <c r="O158" s="47"/>
      <c r="P158" s="47"/>
      <c r="Q158" s="47"/>
    </row>
    <row r="159" spans="1:17" s="4" customFormat="1" x14ac:dyDescent="0.2">
      <c r="A159" s="23"/>
      <c r="B159" s="24"/>
      <c r="C159" s="24"/>
      <c r="D159" s="24"/>
      <c r="E159" s="24"/>
      <c r="F159" s="24"/>
      <c r="G159" s="24"/>
      <c r="H159" s="24"/>
      <c r="I159" s="47"/>
      <c r="J159" s="59"/>
      <c r="K159" s="47"/>
      <c r="L159" s="47"/>
      <c r="M159" s="47"/>
      <c r="N159" s="47"/>
      <c r="O159" s="47"/>
      <c r="P159" s="47"/>
      <c r="Q159" s="47"/>
    </row>
    <row r="160" spans="1:17" s="4" customFormat="1" x14ac:dyDescent="0.2">
      <c r="A160" s="23"/>
      <c r="B160" s="24"/>
      <c r="C160" s="24"/>
      <c r="D160" s="24"/>
      <c r="E160" s="24"/>
      <c r="F160" s="24"/>
      <c r="G160" s="24"/>
      <c r="H160" s="24"/>
      <c r="I160" s="47"/>
      <c r="J160" s="59"/>
      <c r="K160" s="47"/>
      <c r="L160" s="47"/>
      <c r="M160" s="47"/>
      <c r="N160" s="47"/>
      <c r="O160" s="47"/>
      <c r="P160" s="47"/>
      <c r="Q160" s="47"/>
    </row>
    <row r="161" spans="1:17" s="4" customFormat="1" x14ac:dyDescent="0.2">
      <c r="A161" s="23"/>
      <c r="B161" s="24"/>
      <c r="C161" s="24"/>
      <c r="D161" s="24"/>
      <c r="E161" s="24"/>
      <c r="F161" s="24"/>
      <c r="G161" s="24"/>
      <c r="H161" s="24"/>
      <c r="I161" s="47"/>
      <c r="J161" s="59"/>
      <c r="K161" s="47"/>
      <c r="L161" s="47"/>
      <c r="M161" s="47"/>
      <c r="N161" s="47"/>
      <c r="O161" s="47"/>
      <c r="P161" s="47"/>
      <c r="Q161" s="47"/>
    </row>
    <row r="162" spans="1:17" s="4" customFormat="1" x14ac:dyDescent="0.2">
      <c r="A162" s="23"/>
      <c r="B162" s="24"/>
      <c r="C162" s="24"/>
      <c r="D162" s="24"/>
      <c r="E162" s="24"/>
      <c r="F162" s="24"/>
      <c r="G162" s="24"/>
      <c r="H162" s="24"/>
      <c r="I162" s="47"/>
      <c r="J162" s="59"/>
      <c r="K162" s="47"/>
      <c r="L162" s="47"/>
      <c r="M162" s="47"/>
      <c r="N162" s="47"/>
      <c r="O162" s="47"/>
      <c r="P162" s="47"/>
      <c r="Q162" s="47"/>
    </row>
    <row r="163" spans="1:17" s="4" customFormat="1" x14ac:dyDescent="0.2">
      <c r="A163" s="23"/>
      <c r="B163" s="24"/>
      <c r="C163" s="24"/>
      <c r="D163" s="24"/>
      <c r="E163" s="24"/>
      <c r="F163" s="24"/>
      <c r="G163" s="24"/>
      <c r="H163" s="24"/>
      <c r="I163" s="47"/>
      <c r="J163" s="59"/>
      <c r="K163" s="47"/>
      <c r="L163" s="47"/>
      <c r="M163" s="47"/>
      <c r="N163" s="47"/>
      <c r="O163" s="47"/>
      <c r="P163" s="47"/>
      <c r="Q163" s="47"/>
    </row>
    <row r="164" spans="1:17" s="4" customFormat="1" x14ac:dyDescent="0.2">
      <c r="A164" s="23"/>
      <c r="B164" s="24"/>
      <c r="C164" s="24"/>
      <c r="D164" s="24"/>
      <c r="E164" s="24"/>
      <c r="F164" s="24"/>
      <c r="G164" s="24"/>
      <c r="H164" s="24"/>
      <c r="I164" s="47"/>
      <c r="J164" s="59"/>
      <c r="K164" s="47"/>
      <c r="L164" s="47"/>
      <c r="M164" s="47"/>
      <c r="N164" s="47"/>
      <c r="O164" s="47"/>
      <c r="P164" s="47"/>
      <c r="Q164" s="47"/>
    </row>
    <row r="165" spans="1:17" s="4" customFormat="1" x14ac:dyDescent="0.2">
      <c r="A165" s="23"/>
      <c r="B165" s="24"/>
      <c r="C165" s="24"/>
      <c r="D165" s="24"/>
      <c r="E165" s="24"/>
      <c r="F165" s="24"/>
      <c r="G165" s="24"/>
      <c r="H165" s="24"/>
      <c r="I165" s="47"/>
      <c r="J165" s="59"/>
      <c r="K165" s="47"/>
      <c r="L165" s="47"/>
      <c r="M165" s="47"/>
      <c r="N165" s="47"/>
      <c r="O165" s="47"/>
      <c r="P165" s="47"/>
      <c r="Q165" s="47"/>
    </row>
    <row r="166" spans="1:17" s="4" customFormat="1" x14ac:dyDescent="0.2">
      <c r="A166" s="23"/>
      <c r="B166" s="24"/>
      <c r="C166" s="24"/>
      <c r="D166" s="24"/>
      <c r="E166" s="24"/>
      <c r="F166" s="24"/>
      <c r="G166" s="24"/>
      <c r="H166" s="24"/>
      <c r="I166" s="47"/>
      <c r="J166" s="59"/>
      <c r="K166" s="47"/>
      <c r="L166" s="47"/>
      <c r="M166" s="47"/>
      <c r="N166" s="47"/>
      <c r="O166" s="47"/>
      <c r="P166" s="47"/>
      <c r="Q166" s="47"/>
    </row>
    <row r="167" spans="1:17" s="4" customFormat="1" x14ac:dyDescent="0.2">
      <c r="A167" s="23"/>
      <c r="B167" s="24"/>
      <c r="C167" s="24"/>
      <c r="D167" s="24"/>
      <c r="E167" s="24"/>
      <c r="F167" s="24"/>
      <c r="G167" s="24"/>
      <c r="H167" s="24"/>
      <c r="I167" s="47"/>
      <c r="J167" s="59"/>
      <c r="K167" s="47"/>
      <c r="L167" s="47"/>
      <c r="M167" s="47"/>
      <c r="N167" s="47"/>
      <c r="O167" s="47"/>
      <c r="P167" s="47"/>
      <c r="Q167" s="47"/>
    </row>
    <row r="168" spans="1:17" s="4" customFormat="1" x14ac:dyDescent="0.2">
      <c r="A168" s="23"/>
      <c r="B168" s="24"/>
      <c r="C168" s="24"/>
      <c r="D168" s="24"/>
      <c r="E168" s="24"/>
      <c r="F168" s="24"/>
      <c r="G168" s="24"/>
      <c r="H168" s="24"/>
      <c r="I168" s="47"/>
      <c r="J168" s="59"/>
      <c r="K168" s="47"/>
      <c r="L168" s="47"/>
      <c r="M168" s="47"/>
      <c r="N168" s="47"/>
      <c r="O168" s="47"/>
      <c r="P168" s="47"/>
      <c r="Q168" s="47"/>
    </row>
    <row r="169" spans="1:17" s="4" customFormat="1" x14ac:dyDescent="0.2">
      <c r="A169" s="23"/>
      <c r="B169" s="24"/>
      <c r="C169" s="24"/>
      <c r="D169" s="24"/>
      <c r="E169" s="24"/>
      <c r="F169" s="24"/>
      <c r="G169" s="24"/>
      <c r="H169" s="24"/>
      <c r="I169" s="47"/>
      <c r="J169" s="59"/>
      <c r="K169" s="47"/>
      <c r="L169" s="47"/>
      <c r="M169" s="47"/>
      <c r="N169" s="47"/>
      <c r="O169" s="47"/>
      <c r="P169" s="47"/>
      <c r="Q169" s="47"/>
    </row>
    <row r="170" spans="1:17" s="4" customFormat="1" x14ac:dyDescent="0.2">
      <c r="A170" s="23"/>
      <c r="B170" s="24"/>
      <c r="C170" s="24"/>
      <c r="D170" s="24"/>
      <c r="E170" s="24"/>
      <c r="F170" s="24"/>
      <c r="G170" s="24"/>
      <c r="H170" s="24"/>
      <c r="I170" s="47"/>
      <c r="J170" s="59"/>
      <c r="K170" s="47"/>
      <c r="L170" s="47"/>
      <c r="M170" s="47"/>
      <c r="N170" s="47"/>
      <c r="O170" s="47"/>
      <c r="P170" s="47"/>
      <c r="Q170" s="47"/>
    </row>
    <row r="171" spans="1:17" s="4" customFormat="1" x14ac:dyDescent="0.2">
      <c r="A171" s="23"/>
      <c r="B171" s="24"/>
      <c r="C171" s="24"/>
      <c r="D171" s="24"/>
      <c r="E171" s="24"/>
      <c r="F171" s="24"/>
      <c r="G171" s="24"/>
      <c r="H171" s="24"/>
      <c r="I171" s="47"/>
      <c r="J171" s="59"/>
      <c r="K171" s="47"/>
      <c r="L171" s="47"/>
      <c r="M171" s="47"/>
      <c r="N171" s="47"/>
      <c r="O171" s="47"/>
      <c r="P171" s="47"/>
      <c r="Q171" s="47"/>
    </row>
    <row r="172" spans="1:17" s="4" customFormat="1" x14ac:dyDescent="0.2">
      <c r="A172" s="23"/>
      <c r="B172" s="24"/>
      <c r="C172" s="24"/>
      <c r="D172" s="24"/>
      <c r="E172" s="24"/>
      <c r="F172" s="24"/>
      <c r="G172" s="24"/>
      <c r="H172" s="24"/>
      <c r="I172" s="47"/>
      <c r="J172" s="59"/>
      <c r="K172" s="47"/>
      <c r="L172" s="47"/>
      <c r="M172" s="47"/>
      <c r="N172" s="47"/>
      <c r="O172" s="47"/>
      <c r="P172" s="47"/>
      <c r="Q172" s="47"/>
    </row>
    <row r="173" spans="1:17" s="4" customFormat="1" x14ac:dyDescent="0.2">
      <c r="A173" s="23"/>
      <c r="B173" s="24"/>
      <c r="C173" s="24"/>
      <c r="D173" s="24"/>
      <c r="E173" s="24"/>
      <c r="F173" s="24"/>
      <c r="G173" s="24"/>
      <c r="H173" s="24"/>
      <c r="I173" s="47"/>
      <c r="J173" s="59"/>
      <c r="K173" s="47"/>
      <c r="L173" s="47"/>
      <c r="M173" s="47"/>
      <c r="N173" s="47"/>
      <c r="O173" s="47"/>
      <c r="P173" s="47"/>
      <c r="Q173" s="47"/>
    </row>
    <row r="174" spans="1:17" s="4" customFormat="1" x14ac:dyDescent="0.2">
      <c r="A174" s="23"/>
      <c r="B174" s="24"/>
      <c r="C174" s="24"/>
      <c r="D174" s="24"/>
      <c r="E174" s="24"/>
      <c r="F174" s="24"/>
      <c r="G174" s="24"/>
      <c r="H174" s="24"/>
      <c r="I174" s="47"/>
      <c r="J174" s="59"/>
      <c r="K174" s="47"/>
      <c r="L174" s="47"/>
      <c r="M174" s="47"/>
      <c r="N174" s="47"/>
      <c r="O174" s="47"/>
      <c r="P174" s="47"/>
      <c r="Q174" s="47"/>
    </row>
    <row r="175" spans="1:17" s="4" customFormat="1" x14ac:dyDescent="0.2">
      <c r="A175" s="23"/>
      <c r="B175" s="24"/>
      <c r="C175" s="24"/>
      <c r="D175" s="24"/>
      <c r="E175" s="24"/>
      <c r="F175" s="24"/>
      <c r="G175" s="24"/>
      <c r="H175" s="24"/>
      <c r="I175" s="47"/>
      <c r="J175" s="59"/>
      <c r="K175" s="47"/>
      <c r="L175" s="47"/>
      <c r="M175" s="47"/>
      <c r="N175" s="47"/>
      <c r="O175" s="47"/>
      <c r="P175" s="47"/>
      <c r="Q175" s="47"/>
    </row>
    <row r="176" spans="1:17" s="4" customFormat="1" x14ac:dyDescent="0.2">
      <c r="A176" s="23"/>
      <c r="B176" s="24"/>
      <c r="C176" s="24"/>
      <c r="D176" s="24"/>
      <c r="E176" s="24"/>
      <c r="F176" s="24"/>
      <c r="G176" s="24"/>
      <c r="H176" s="24"/>
      <c r="I176" s="47"/>
      <c r="J176" s="59"/>
      <c r="K176" s="47"/>
      <c r="L176" s="47"/>
      <c r="M176" s="47"/>
      <c r="N176" s="47"/>
      <c r="O176" s="47"/>
      <c r="P176" s="47"/>
      <c r="Q176" s="47"/>
    </row>
    <row r="177" spans="1:17" s="4" customFormat="1" x14ac:dyDescent="0.2">
      <c r="A177" s="23"/>
      <c r="B177" s="24"/>
      <c r="C177" s="24"/>
      <c r="D177" s="24"/>
      <c r="E177" s="24"/>
      <c r="F177" s="24"/>
      <c r="G177" s="24"/>
      <c r="H177" s="24"/>
      <c r="I177" s="47"/>
      <c r="J177" s="59"/>
      <c r="K177" s="47"/>
      <c r="L177" s="47"/>
      <c r="M177" s="47"/>
      <c r="N177" s="47"/>
      <c r="O177" s="47"/>
      <c r="P177" s="47"/>
      <c r="Q177" s="47"/>
    </row>
    <row r="178" spans="1:17" s="4" customFormat="1" x14ac:dyDescent="0.2">
      <c r="A178" s="23"/>
      <c r="B178" s="24"/>
      <c r="C178" s="24"/>
      <c r="D178" s="24"/>
      <c r="E178" s="24"/>
      <c r="F178" s="24"/>
      <c r="G178" s="24"/>
      <c r="H178" s="24"/>
      <c r="I178" s="47"/>
      <c r="J178" s="59"/>
      <c r="K178" s="47"/>
      <c r="L178" s="47"/>
      <c r="M178" s="47"/>
      <c r="N178" s="47"/>
      <c r="O178" s="47"/>
      <c r="P178" s="47"/>
      <c r="Q178" s="47"/>
    </row>
    <row r="179" spans="1:17" s="4" customFormat="1" x14ac:dyDescent="0.2">
      <c r="A179" s="23"/>
      <c r="B179" s="24"/>
      <c r="C179" s="24"/>
      <c r="D179" s="24"/>
      <c r="E179" s="24"/>
      <c r="F179" s="24"/>
      <c r="G179" s="24"/>
      <c r="H179" s="24"/>
      <c r="I179" s="47"/>
      <c r="J179" s="59"/>
      <c r="K179" s="47"/>
      <c r="L179" s="47"/>
      <c r="M179" s="47"/>
      <c r="N179" s="47"/>
      <c r="O179" s="47"/>
      <c r="P179" s="47"/>
      <c r="Q179" s="47"/>
    </row>
    <row r="180" spans="1:17" s="4" customFormat="1" x14ac:dyDescent="0.2">
      <c r="A180" s="23"/>
      <c r="B180" s="24"/>
      <c r="C180" s="24"/>
      <c r="D180" s="24"/>
      <c r="E180" s="24"/>
      <c r="F180" s="24"/>
      <c r="G180" s="24"/>
      <c r="H180" s="24"/>
      <c r="I180" s="47"/>
      <c r="J180" s="59"/>
      <c r="K180" s="47"/>
      <c r="L180" s="47"/>
      <c r="M180" s="47"/>
      <c r="N180" s="47"/>
      <c r="O180" s="47"/>
      <c r="P180" s="47"/>
      <c r="Q180" s="47"/>
    </row>
    <row r="181" spans="1:17" s="4" customFormat="1" x14ac:dyDescent="0.2">
      <c r="A181" s="23"/>
      <c r="B181" s="24"/>
      <c r="C181" s="24"/>
      <c r="D181" s="24"/>
      <c r="E181" s="24"/>
      <c r="F181" s="24"/>
      <c r="G181" s="24"/>
      <c r="H181" s="24"/>
      <c r="I181" s="47"/>
      <c r="J181" s="59"/>
      <c r="K181" s="47"/>
      <c r="L181" s="47"/>
      <c r="M181" s="47"/>
      <c r="N181" s="47"/>
      <c r="O181" s="47"/>
      <c r="P181" s="47"/>
      <c r="Q181" s="47"/>
    </row>
    <row r="182" spans="1:17" s="4" customFormat="1" x14ac:dyDescent="0.2">
      <c r="A182" s="23"/>
      <c r="B182" s="24"/>
      <c r="C182" s="24"/>
      <c r="D182" s="24"/>
      <c r="E182" s="24"/>
      <c r="F182" s="24"/>
      <c r="G182" s="24"/>
      <c r="H182" s="24"/>
      <c r="I182" s="47"/>
      <c r="J182" s="59"/>
      <c r="K182" s="47"/>
      <c r="L182" s="47"/>
      <c r="M182" s="47"/>
      <c r="N182" s="47"/>
      <c r="O182" s="47"/>
      <c r="P182" s="47"/>
      <c r="Q182" s="47"/>
    </row>
    <row r="183" spans="1:17" s="4" customFormat="1" x14ac:dyDescent="0.2">
      <c r="A183" s="23"/>
      <c r="B183" s="24"/>
      <c r="C183" s="24"/>
      <c r="D183" s="24"/>
      <c r="E183" s="24"/>
      <c r="F183" s="24"/>
      <c r="G183" s="24"/>
      <c r="H183" s="24"/>
      <c r="I183" s="47"/>
      <c r="J183" s="59"/>
      <c r="K183" s="47"/>
      <c r="L183" s="47"/>
      <c r="M183" s="47"/>
      <c r="N183" s="47"/>
      <c r="O183" s="47"/>
      <c r="P183" s="47"/>
      <c r="Q183" s="47"/>
    </row>
    <row r="184" spans="1:17" s="4" customFormat="1" x14ac:dyDescent="0.2">
      <c r="A184" s="23"/>
      <c r="B184" s="24"/>
      <c r="C184" s="24"/>
      <c r="D184" s="24"/>
      <c r="E184" s="24"/>
      <c r="F184" s="24"/>
      <c r="G184" s="24"/>
      <c r="H184" s="24"/>
      <c r="I184" s="47"/>
      <c r="J184" s="59"/>
      <c r="K184" s="47"/>
      <c r="L184" s="47"/>
      <c r="M184" s="47"/>
      <c r="N184" s="47"/>
      <c r="O184" s="47"/>
      <c r="P184" s="47"/>
      <c r="Q184" s="47"/>
    </row>
    <row r="185" spans="1:17" s="4" customFormat="1" x14ac:dyDescent="0.2">
      <c r="A185" s="23"/>
      <c r="B185" s="24"/>
      <c r="C185" s="24"/>
      <c r="D185" s="24"/>
      <c r="E185" s="24"/>
      <c r="F185" s="24"/>
      <c r="G185" s="24"/>
      <c r="H185" s="24"/>
      <c r="I185" s="47"/>
      <c r="J185" s="59"/>
      <c r="K185" s="47"/>
      <c r="L185" s="47"/>
      <c r="M185" s="47"/>
      <c r="N185" s="47"/>
      <c r="O185" s="47"/>
      <c r="P185" s="47"/>
      <c r="Q185" s="47"/>
    </row>
    <row r="186" spans="1:17" s="4" customFormat="1" x14ac:dyDescent="0.2">
      <c r="A186" s="23"/>
      <c r="B186" s="24"/>
      <c r="C186" s="24"/>
      <c r="D186" s="24"/>
      <c r="E186" s="24"/>
      <c r="F186" s="24"/>
      <c r="G186" s="24"/>
      <c r="H186" s="24"/>
      <c r="I186" s="47"/>
      <c r="J186" s="59"/>
      <c r="K186" s="47"/>
      <c r="L186" s="47"/>
      <c r="M186" s="47"/>
      <c r="N186" s="47"/>
      <c r="O186" s="47"/>
      <c r="P186" s="47"/>
      <c r="Q186" s="47"/>
    </row>
    <row r="187" spans="1:17" s="4" customFormat="1" x14ac:dyDescent="0.2">
      <c r="A187" s="23"/>
      <c r="B187" s="24"/>
      <c r="C187" s="24"/>
      <c r="D187" s="24"/>
      <c r="E187" s="24"/>
      <c r="F187" s="24"/>
      <c r="G187" s="24"/>
      <c r="H187" s="24"/>
      <c r="I187" s="47"/>
      <c r="J187" s="59"/>
      <c r="K187" s="47"/>
      <c r="L187" s="47"/>
      <c r="M187" s="47"/>
      <c r="N187" s="47"/>
      <c r="O187" s="47"/>
      <c r="P187" s="47"/>
      <c r="Q187" s="47"/>
    </row>
    <row r="188" spans="1:17" s="4" customFormat="1" x14ac:dyDescent="0.2">
      <c r="A188" s="23"/>
      <c r="B188" s="24"/>
      <c r="C188" s="24"/>
      <c r="D188" s="24"/>
      <c r="E188" s="24"/>
      <c r="F188" s="24"/>
      <c r="G188" s="24"/>
      <c r="H188" s="24"/>
      <c r="I188" s="47"/>
      <c r="J188" s="59"/>
      <c r="K188" s="47"/>
      <c r="L188" s="47"/>
      <c r="M188" s="47"/>
      <c r="N188" s="47"/>
      <c r="O188" s="47"/>
      <c r="P188" s="47"/>
      <c r="Q188" s="47"/>
    </row>
    <row r="189" spans="1:17" s="4" customFormat="1" x14ac:dyDescent="0.2">
      <c r="A189" s="23"/>
      <c r="B189" s="24"/>
      <c r="C189" s="24"/>
      <c r="D189" s="24"/>
      <c r="E189" s="24"/>
      <c r="F189" s="24"/>
      <c r="G189" s="24"/>
      <c r="H189" s="24"/>
      <c r="I189" s="47"/>
      <c r="J189" s="59"/>
      <c r="K189" s="47"/>
      <c r="L189" s="47"/>
      <c r="M189" s="47"/>
      <c r="N189" s="47"/>
      <c r="O189" s="47"/>
      <c r="P189" s="47"/>
      <c r="Q189" s="47"/>
    </row>
    <row r="190" spans="1:17" s="4" customFormat="1" x14ac:dyDescent="0.2">
      <c r="A190" s="23"/>
      <c r="B190" s="24"/>
      <c r="C190" s="24"/>
      <c r="D190" s="24"/>
      <c r="E190" s="24"/>
      <c r="F190" s="24"/>
      <c r="G190" s="24"/>
      <c r="H190" s="24"/>
      <c r="I190" s="47"/>
      <c r="J190" s="59"/>
      <c r="K190" s="47"/>
      <c r="L190" s="47"/>
      <c r="M190" s="47"/>
      <c r="N190" s="47"/>
      <c r="O190" s="47"/>
      <c r="P190" s="47"/>
      <c r="Q190" s="47"/>
    </row>
    <row r="191" spans="1:17" s="4" customFormat="1" x14ac:dyDescent="0.2">
      <c r="A191" s="23"/>
      <c r="B191" s="24"/>
      <c r="C191" s="24"/>
      <c r="D191" s="24"/>
      <c r="E191" s="24"/>
      <c r="F191" s="24"/>
      <c r="G191" s="24"/>
      <c r="H191" s="24"/>
      <c r="I191" s="47"/>
      <c r="J191" s="59"/>
      <c r="K191" s="47"/>
      <c r="L191" s="47"/>
      <c r="M191" s="47"/>
      <c r="N191" s="47"/>
      <c r="O191" s="47"/>
      <c r="P191" s="47"/>
      <c r="Q191" s="47"/>
    </row>
    <row r="192" spans="1:17" s="4" customFormat="1" x14ac:dyDescent="0.2">
      <c r="A192" s="23"/>
      <c r="B192" s="24"/>
      <c r="C192" s="24"/>
      <c r="D192" s="24"/>
      <c r="E192" s="24"/>
      <c r="F192" s="24"/>
      <c r="G192" s="24"/>
      <c r="H192" s="24"/>
      <c r="I192" s="47"/>
      <c r="J192" s="59"/>
      <c r="K192" s="47"/>
      <c r="L192" s="47"/>
      <c r="M192" s="47"/>
      <c r="N192" s="47"/>
      <c r="O192" s="47"/>
      <c r="P192" s="47"/>
      <c r="Q192" s="47"/>
    </row>
    <row r="193" spans="1:17" s="4" customFormat="1" x14ac:dyDescent="0.2">
      <c r="A193" s="23"/>
      <c r="B193" s="24"/>
      <c r="C193" s="24"/>
      <c r="D193" s="24"/>
      <c r="E193" s="24"/>
      <c r="F193" s="24"/>
      <c r="G193" s="24"/>
      <c r="H193" s="24"/>
      <c r="I193" s="47"/>
      <c r="J193" s="59"/>
      <c r="K193" s="47"/>
      <c r="L193" s="47"/>
      <c r="M193" s="47"/>
      <c r="N193" s="47"/>
      <c r="O193" s="47"/>
      <c r="P193" s="47"/>
      <c r="Q193" s="47"/>
    </row>
    <row r="194" spans="1:17" s="4" customFormat="1" x14ac:dyDescent="0.2">
      <c r="A194" s="23"/>
      <c r="B194" s="24"/>
      <c r="C194" s="24"/>
      <c r="D194" s="24"/>
      <c r="E194" s="24"/>
      <c r="F194" s="24"/>
      <c r="G194" s="24"/>
      <c r="H194" s="24"/>
      <c r="I194" s="47"/>
      <c r="J194" s="59"/>
      <c r="K194" s="47"/>
      <c r="L194" s="47"/>
      <c r="M194" s="47"/>
      <c r="N194" s="47"/>
      <c r="O194" s="47"/>
      <c r="P194" s="47"/>
      <c r="Q194" s="47"/>
    </row>
    <row r="195" spans="1:17" s="4" customFormat="1" x14ac:dyDescent="0.2">
      <c r="A195" s="23"/>
      <c r="B195" s="24"/>
      <c r="C195" s="24"/>
      <c r="D195" s="24"/>
      <c r="E195" s="24"/>
      <c r="F195" s="24"/>
      <c r="G195" s="24"/>
      <c r="H195" s="24"/>
      <c r="I195" s="47"/>
      <c r="J195" s="59"/>
      <c r="K195" s="47"/>
      <c r="L195" s="47"/>
      <c r="M195" s="47"/>
      <c r="N195" s="47"/>
      <c r="O195" s="47"/>
      <c r="P195" s="47"/>
      <c r="Q195" s="47"/>
    </row>
    <row r="196" spans="1:17" s="4" customFormat="1" x14ac:dyDescent="0.2">
      <c r="A196" s="23"/>
      <c r="B196" s="24"/>
      <c r="C196" s="24"/>
      <c r="D196" s="24"/>
      <c r="E196" s="24"/>
      <c r="F196" s="24"/>
      <c r="G196" s="24"/>
      <c r="H196" s="24"/>
      <c r="I196" s="47"/>
      <c r="J196" s="59"/>
      <c r="K196" s="47"/>
      <c r="L196" s="47"/>
      <c r="M196" s="47"/>
      <c r="N196" s="47"/>
      <c r="O196" s="47"/>
      <c r="P196" s="47"/>
      <c r="Q196" s="47"/>
    </row>
    <row r="197" spans="1:17" s="4" customFormat="1" x14ac:dyDescent="0.2">
      <c r="A197" s="23"/>
      <c r="B197" s="24"/>
      <c r="C197" s="24"/>
      <c r="D197" s="24"/>
      <c r="E197" s="24"/>
      <c r="F197" s="24"/>
      <c r="G197" s="24"/>
      <c r="H197" s="24"/>
      <c r="I197" s="47"/>
      <c r="J197" s="59"/>
      <c r="K197" s="47"/>
      <c r="L197" s="47"/>
      <c r="M197" s="47"/>
      <c r="N197" s="47"/>
      <c r="O197" s="47"/>
      <c r="P197" s="47"/>
      <c r="Q197" s="47"/>
    </row>
    <row r="198" spans="1:17" s="4" customFormat="1" x14ac:dyDescent="0.2">
      <c r="A198" s="23"/>
      <c r="B198" s="24"/>
      <c r="C198" s="24"/>
      <c r="D198" s="24"/>
      <c r="E198" s="24"/>
      <c r="F198" s="24"/>
      <c r="G198" s="24"/>
      <c r="H198" s="24"/>
      <c r="I198" s="47"/>
      <c r="J198" s="59"/>
      <c r="K198" s="47"/>
      <c r="L198" s="47"/>
      <c r="M198" s="47"/>
      <c r="N198" s="47"/>
      <c r="O198" s="47"/>
      <c r="P198" s="47"/>
      <c r="Q198" s="47"/>
    </row>
    <row r="199" spans="1:17" s="4" customFormat="1" x14ac:dyDescent="0.2">
      <c r="A199" s="23"/>
      <c r="B199" s="24"/>
      <c r="C199" s="24"/>
      <c r="D199" s="24"/>
      <c r="E199" s="24"/>
      <c r="F199" s="24"/>
      <c r="G199" s="24"/>
      <c r="H199" s="24"/>
      <c r="I199" s="47"/>
      <c r="J199" s="59"/>
      <c r="K199" s="47"/>
      <c r="L199" s="47"/>
      <c r="M199" s="47"/>
      <c r="N199" s="47"/>
      <c r="O199" s="47"/>
      <c r="P199" s="47"/>
      <c r="Q199" s="47"/>
    </row>
    <row r="200" spans="1:17" s="4" customFormat="1" x14ac:dyDescent="0.2">
      <c r="A200" s="23"/>
      <c r="B200" s="24"/>
      <c r="C200" s="24"/>
      <c r="D200" s="24"/>
      <c r="E200" s="24"/>
      <c r="F200" s="24"/>
      <c r="G200" s="24"/>
      <c r="H200" s="24"/>
      <c r="I200" s="47"/>
      <c r="J200" s="59"/>
      <c r="K200" s="47"/>
      <c r="L200" s="47"/>
      <c r="M200" s="47"/>
      <c r="N200" s="47"/>
      <c r="O200" s="47"/>
      <c r="P200" s="47"/>
      <c r="Q200" s="47"/>
    </row>
    <row r="201" spans="1:17" s="4" customFormat="1" x14ac:dyDescent="0.2">
      <c r="A201" s="23"/>
      <c r="B201" s="24"/>
      <c r="C201" s="24"/>
      <c r="D201" s="24"/>
      <c r="E201" s="24"/>
      <c r="F201" s="24"/>
      <c r="G201" s="24"/>
      <c r="H201" s="24"/>
      <c r="I201" s="47"/>
      <c r="J201" s="59"/>
      <c r="K201" s="47"/>
      <c r="L201" s="47"/>
      <c r="M201" s="47"/>
      <c r="N201" s="47"/>
      <c r="O201" s="47"/>
      <c r="P201" s="47"/>
      <c r="Q201" s="47"/>
    </row>
    <row r="202" spans="1:17" s="4" customFormat="1" x14ac:dyDescent="0.2">
      <c r="A202" s="23"/>
      <c r="B202" s="24"/>
      <c r="C202" s="24"/>
      <c r="D202" s="24"/>
      <c r="E202" s="24"/>
      <c r="F202" s="24"/>
      <c r="G202" s="24"/>
      <c r="H202" s="24"/>
      <c r="I202" s="47"/>
      <c r="J202" s="59"/>
      <c r="K202" s="47"/>
      <c r="L202" s="47"/>
      <c r="M202" s="47"/>
      <c r="N202" s="47"/>
      <c r="O202" s="47"/>
      <c r="P202" s="47"/>
      <c r="Q202" s="47"/>
    </row>
    <row r="203" spans="1:17" s="4" customFormat="1" x14ac:dyDescent="0.2">
      <c r="A203" s="23"/>
      <c r="B203" s="24"/>
      <c r="C203" s="24"/>
      <c r="D203" s="24"/>
      <c r="E203" s="24"/>
      <c r="F203" s="24"/>
      <c r="G203" s="24"/>
      <c r="H203" s="24"/>
      <c r="I203" s="47"/>
      <c r="J203" s="59"/>
      <c r="K203" s="47"/>
      <c r="L203" s="47"/>
      <c r="M203" s="47"/>
      <c r="N203" s="47"/>
      <c r="O203" s="47"/>
      <c r="P203" s="47"/>
      <c r="Q203" s="47"/>
    </row>
    <row r="204" spans="1:17" s="4" customFormat="1" x14ac:dyDescent="0.2">
      <c r="A204" s="23"/>
      <c r="B204" s="24"/>
      <c r="C204" s="24"/>
      <c r="D204" s="24"/>
      <c r="E204" s="24"/>
      <c r="F204" s="24"/>
      <c r="G204" s="24"/>
      <c r="H204" s="24"/>
      <c r="I204" s="47"/>
      <c r="J204" s="59"/>
      <c r="K204" s="47"/>
      <c r="L204" s="47"/>
      <c r="M204" s="47"/>
      <c r="N204" s="47"/>
      <c r="O204" s="47"/>
      <c r="P204" s="47"/>
      <c r="Q204" s="47"/>
    </row>
    <row r="205" spans="1:17" s="4" customFormat="1" x14ac:dyDescent="0.2">
      <c r="A205" s="23"/>
      <c r="B205" s="24"/>
      <c r="C205" s="24"/>
      <c r="D205" s="24"/>
      <c r="E205" s="24"/>
      <c r="F205" s="24"/>
      <c r="G205" s="24"/>
      <c r="H205" s="24"/>
      <c r="I205" s="47"/>
      <c r="J205" s="59"/>
      <c r="K205" s="47"/>
      <c r="L205" s="47"/>
      <c r="M205" s="47"/>
      <c r="N205" s="47"/>
      <c r="O205" s="47"/>
      <c r="P205" s="47"/>
      <c r="Q205" s="47"/>
    </row>
    <row r="206" spans="1:17" s="4" customFormat="1" x14ac:dyDescent="0.2">
      <c r="A206" s="23"/>
      <c r="B206" s="24"/>
      <c r="I206" s="47"/>
      <c r="J206" s="59"/>
      <c r="K206" s="47"/>
      <c r="L206" s="47"/>
      <c r="M206" s="47"/>
      <c r="N206" s="47"/>
      <c r="O206" s="47"/>
      <c r="P206" s="47"/>
      <c r="Q206" s="47"/>
    </row>
    <row r="207" spans="1:17" s="47" customFormat="1" hidden="1" x14ac:dyDescent="0.2">
      <c r="A207" s="63" t="s">
        <v>59</v>
      </c>
      <c r="B207" s="61" t="s">
        <v>44</v>
      </c>
      <c r="C207" s="49" t="s">
        <v>45</v>
      </c>
      <c r="D207" s="49" t="s">
        <v>46</v>
      </c>
      <c r="E207" s="49" t="s">
        <v>47</v>
      </c>
      <c r="F207" s="49" t="s">
        <v>48</v>
      </c>
      <c r="G207" s="49" t="s">
        <v>49</v>
      </c>
      <c r="H207" s="49" t="s">
        <v>50</v>
      </c>
      <c r="J207" s="49" t="s">
        <v>51</v>
      </c>
      <c r="K207" s="49" t="s">
        <v>52</v>
      </c>
      <c r="L207" s="49" t="s">
        <v>53</v>
      </c>
      <c r="M207" s="49" t="s">
        <v>54</v>
      </c>
      <c r="N207" s="49" t="s">
        <v>55</v>
      </c>
      <c r="O207" s="49" t="s">
        <v>56</v>
      </c>
      <c r="P207" s="61" t="s">
        <v>43</v>
      </c>
    </row>
    <row r="208" spans="1:17" s="47" customFormat="1" hidden="1" x14ac:dyDescent="0.2">
      <c r="A208" s="61" t="s">
        <v>32</v>
      </c>
      <c r="B208" s="62">
        <f>0.45*LOG(V)+0.07</f>
        <v>1.079097985259867</v>
      </c>
      <c r="C208" s="62">
        <f>Sollwert*1.45</f>
        <v>1.564692078626807</v>
      </c>
      <c r="D208" s="62">
        <f t="shared" ref="D208:H212" si="54">Sollwert*1.2</f>
        <v>1.2949175823118404</v>
      </c>
      <c r="E208" s="62">
        <f t="shared" si="54"/>
        <v>1.2949175823118404</v>
      </c>
      <c r="F208" s="62">
        <f t="shared" si="54"/>
        <v>1.2949175823118404</v>
      </c>
      <c r="G208" s="62">
        <f t="shared" si="54"/>
        <v>1.2949175823118404</v>
      </c>
      <c r="H208" s="62">
        <f t="shared" si="54"/>
        <v>1.2949175823118404</v>
      </c>
      <c r="J208" s="62">
        <f>Sollwert*0.65</f>
        <v>0.70141369041891355</v>
      </c>
      <c r="K208" s="62">
        <f t="shared" ref="K208:N212" si="55">Sollwert*0.8</f>
        <v>0.8632783882078936</v>
      </c>
      <c r="L208" s="62">
        <f t="shared" si="55"/>
        <v>0.8632783882078936</v>
      </c>
      <c r="M208" s="62">
        <f t="shared" si="55"/>
        <v>0.8632783882078936</v>
      </c>
      <c r="N208" s="62">
        <f t="shared" si="55"/>
        <v>0.8632783882078936</v>
      </c>
      <c r="O208" s="62">
        <f>Sollwert*0.65</f>
        <v>0.70141369041891355</v>
      </c>
      <c r="P208" s="57">
        <v>0</v>
      </c>
    </row>
    <row r="209" spans="1:16" s="47" customFormat="1" hidden="1" x14ac:dyDescent="0.2">
      <c r="A209" s="61" t="s">
        <v>33</v>
      </c>
      <c r="B209" s="62">
        <f>0.37*LOG(V)-0.14</f>
        <v>0.68970278788033501</v>
      </c>
      <c r="C209" s="62">
        <f>Sollwert*1.45</f>
        <v>1.0000690424264858</v>
      </c>
      <c r="D209" s="62">
        <f t="shared" si="54"/>
        <v>0.82764334545640195</v>
      </c>
      <c r="E209" s="62">
        <f t="shared" si="54"/>
        <v>0.82764334545640195</v>
      </c>
      <c r="F209" s="62">
        <f t="shared" si="54"/>
        <v>0.82764334545640195</v>
      </c>
      <c r="G209" s="62">
        <f t="shared" si="54"/>
        <v>0.82764334545640195</v>
      </c>
      <c r="H209" s="62">
        <f t="shared" si="54"/>
        <v>0.82764334545640195</v>
      </c>
      <c r="J209" s="62">
        <f>Sollwert*0.65</f>
        <v>0.44830681212221779</v>
      </c>
      <c r="K209" s="62">
        <f t="shared" si="55"/>
        <v>0.55176223030426808</v>
      </c>
      <c r="L209" s="62">
        <f t="shared" si="55"/>
        <v>0.55176223030426808</v>
      </c>
      <c r="M209" s="62">
        <f t="shared" si="55"/>
        <v>0.55176223030426808</v>
      </c>
      <c r="N209" s="62">
        <f t="shared" si="55"/>
        <v>0.55176223030426808</v>
      </c>
      <c r="O209" s="62">
        <f>Sollwert*0.65</f>
        <v>0.44830681212221779</v>
      </c>
      <c r="P209" s="57">
        <f>P216</f>
        <v>0.1801980919676737</v>
      </c>
    </row>
    <row r="210" spans="1:16" s="47" customFormat="1" hidden="1" x14ac:dyDescent="0.2">
      <c r="A210" s="61" t="s">
        <v>34</v>
      </c>
      <c r="B210" s="62">
        <f>0.32*LOG(V)-0.17</f>
        <v>0.54758078951812761</v>
      </c>
      <c r="C210" s="62">
        <f>Sollwert*1.45</f>
        <v>0.79399214480128499</v>
      </c>
      <c r="D210" s="62">
        <f t="shared" si="54"/>
        <v>0.65709694742175306</v>
      </c>
      <c r="E210" s="62">
        <f t="shared" si="54"/>
        <v>0.65709694742175306</v>
      </c>
      <c r="F210" s="62">
        <f t="shared" si="54"/>
        <v>0.65709694742175306</v>
      </c>
      <c r="G210" s="62">
        <f t="shared" si="54"/>
        <v>0.65709694742175306</v>
      </c>
      <c r="H210" s="62">
        <f t="shared" si="54"/>
        <v>0.65709694742175306</v>
      </c>
      <c r="J210" s="62">
        <f>Sollwert*0.65</f>
        <v>0.35592751318678295</v>
      </c>
      <c r="K210" s="62">
        <f t="shared" si="55"/>
        <v>0.4380646316145021</v>
      </c>
      <c r="L210" s="62">
        <f t="shared" si="55"/>
        <v>0.4380646316145021</v>
      </c>
      <c r="M210" s="62">
        <f t="shared" si="55"/>
        <v>0.4380646316145021</v>
      </c>
      <c r="N210" s="62">
        <f t="shared" si="55"/>
        <v>0.4380646316145021</v>
      </c>
      <c r="O210" s="62">
        <f>Sollwert*0.65</f>
        <v>0.35592751318678295</v>
      </c>
      <c r="P210" s="57">
        <f>P217</f>
        <v>0.21980687066242854</v>
      </c>
    </row>
    <row r="211" spans="1:16" s="47" customFormat="1" hidden="1" x14ac:dyDescent="0.2">
      <c r="A211" s="61" t="s">
        <v>35</v>
      </c>
      <c r="B211" s="62">
        <f>0.26*LOG(V)-0.14</f>
        <v>0.44303439148347867</v>
      </c>
      <c r="C211" s="62">
        <f>Sollwert*1.45</f>
        <v>0.64239986765104407</v>
      </c>
      <c r="D211" s="62">
        <f t="shared" si="54"/>
        <v>0.53164126978017434</v>
      </c>
      <c r="E211" s="62">
        <f t="shared" si="54"/>
        <v>0.53164126978017434</v>
      </c>
      <c r="F211" s="62">
        <f t="shared" si="54"/>
        <v>0.53164126978017434</v>
      </c>
      <c r="G211" s="62">
        <f t="shared" si="54"/>
        <v>0.53164126978017434</v>
      </c>
      <c r="H211" s="62">
        <f t="shared" si="54"/>
        <v>0.53164126978017434</v>
      </c>
      <c r="J211" s="62">
        <f>Sollwert*0.65</f>
        <v>0.28797235446426117</v>
      </c>
      <c r="K211" s="62">
        <f t="shared" si="55"/>
        <v>0.35442751318678295</v>
      </c>
      <c r="L211" s="62">
        <f t="shared" si="55"/>
        <v>0.35442751318678295</v>
      </c>
      <c r="M211" s="62">
        <f t="shared" si="55"/>
        <v>0.35442751318678295</v>
      </c>
      <c r="N211" s="62">
        <f t="shared" si="55"/>
        <v>0.35442751318678295</v>
      </c>
      <c r="O211" s="62">
        <f>Sollwert*0.65</f>
        <v>0.28797235446426117</v>
      </c>
      <c r="P211" s="57">
        <f>P218</f>
        <v>0.25710587104503801</v>
      </c>
    </row>
    <row r="212" spans="1:16" s="47" customFormat="1" hidden="1" x14ac:dyDescent="0.2">
      <c r="A212" s="61" t="s">
        <v>36</v>
      </c>
      <c r="B212" s="62">
        <f>0.75*LOG(V)-1</f>
        <v>0.68182997543311163</v>
      </c>
      <c r="C212" s="62">
        <f>Sollwert*1.2</f>
        <v>0.81819597051973392</v>
      </c>
      <c r="D212" s="62">
        <f t="shared" si="54"/>
        <v>0.81819597051973392</v>
      </c>
      <c r="E212" s="62">
        <f t="shared" si="54"/>
        <v>0.81819597051973392</v>
      </c>
      <c r="F212" s="62">
        <f t="shared" si="54"/>
        <v>0.81819597051973392</v>
      </c>
      <c r="G212" s="62">
        <f t="shared" si="54"/>
        <v>0.81819597051973392</v>
      </c>
      <c r="H212" s="62">
        <f t="shared" si="54"/>
        <v>0.81819597051973392</v>
      </c>
      <c r="J212" s="62">
        <f>Sollwert*0.8</f>
        <v>0.54546398034648935</v>
      </c>
      <c r="K212" s="62">
        <f t="shared" si="55"/>
        <v>0.54546398034648935</v>
      </c>
      <c r="L212" s="62">
        <f t="shared" si="55"/>
        <v>0.54546398034648935</v>
      </c>
      <c r="M212" s="62">
        <f t="shared" si="55"/>
        <v>0.54546398034648935</v>
      </c>
      <c r="N212" s="62">
        <f t="shared" si="55"/>
        <v>0.54546398034648935</v>
      </c>
      <c r="O212" s="62">
        <f>Sollwert*0.8</f>
        <v>0.54546398034648935</v>
      </c>
      <c r="P212" s="57">
        <f>P215</f>
        <v>0.13851473889757268</v>
      </c>
    </row>
    <row r="213" spans="1:16" s="47" customFormat="1" hidden="1" x14ac:dyDescent="0.2">
      <c r="A213" s="61"/>
      <c r="C213" s="57"/>
      <c r="D213" s="57"/>
      <c r="E213" s="57"/>
      <c r="F213" s="57"/>
      <c r="G213" s="57"/>
      <c r="H213" s="57"/>
    </row>
    <row r="214" spans="1:16" s="47" customFormat="1" hidden="1" x14ac:dyDescent="0.2">
      <c r="A214" s="61" t="s">
        <v>37</v>
      </c>
      <c r="B214" s="57">
        <v>0</v>
      </c>
      <c r="C214" s="62">
        <v>0</v>
      </c>
      <c r="D214" s="62">
        <v>0</v>
      </c>
      <c r="E214" s="62">
        <v>0</v>
      </c>
      <c r="F214" s="62">
        <v>0</v>
      </c>
      <c r="G214" s="62">
        <v>0</v>
      </c>
      <c r="H214" s="62">
        <v>0</v>
      </c>
      <c r="I214" s="57"/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</row>
    <row r="215" spans="1:16" s="47" customFormat="1" hidden="1" x14ac:dyDescent="0.2">
      <c r="A215" s="61" t="s">
        <v>38</v>
      </c>
      <c r="B215" s="57">
        <f t="array" ref="B215:O215">B212:O212</f>
        <v>0.68182997543311163</v>
      </c>
      <c r="C215" s="62">
        <v>0.81819597051973392</v>
      </c>
      <c r="D215" s="62">
        <v>0.81819597051973392</v>
      </c>
      <c r="E215" s="62">
        <v>0.81819597051973392</v>
      </c>
      <c r="F215" s="62">
        <v>0.81819597051973392</v>
      </c>
      <c r="G215" s="62">
        <v>0.81819597051973392</v>
      </c>
      <c r="H215" s="62">
        <v>0.81819597051973392</v>
      </c>
      <c r="I215" s="57">
        <v>0</v>
      </c>
      <c r="J215" s="57">
        <v>0.54546398034648935</v>
      </c>
      <c r="K215" s="57">
        <v>0.54546398034648935</v>
      </c>
      <c r="L215" s="57">
        <v>0.54546398034648935</v>
      </c>
      <c r="M215" s="57">
        <v>0.54546398034648935</v>
      </c>
      <c r="N215" s="57">
        <v>0.54546398034648935</v>
      </c>
      <c r="O215" s="57">
        <v>0.54546398034648935</v>
      </c>
      <c r="P215" s="62">
        <f>IF(h&lt;=2.5,0.15,(4.8+4.69*LOG(h))^-1)</f>
        <v>0.13851473889757268</v>
      </c>
    </row>
    <row r="216" spans="1:16" s="47" customFormat="1" hidden="1" x14ac:dyDescent="0.2">
      <c r="A216" s="61" t="s">
        <v>39</v>
      </c>
      <c r="B216" s="57">
        <f t="array" ref="B216:O216">B209:O209</f>
        <v>0.68970278788033501</v>
      </c>
      <c r="C216" s="62">
        <v>1.0000690424264858</v>
      </c>
      <c r="D216" s="62">
        <v>0.82764334545640195</v>
      </c>
      <c r="E216" s="62">
        <v>0.82764334545640195</v>
      </c>
      <c r="F216" s="62">
        <v>0.82764334545640195</v>
      </c>
      <c r="G216" s="62">
        <v>0.82764334545640195</v>
      </c>
      <c r="H216" s="62">
        <v>0.82764334545640195</v>
      </c>
      <c r="I216" s="57">
        <v>0</v>
      </c>
      <c r="J216" s="57">
        <v>0.44830681212221779</v>
      </c>
      <c r="K216" s="57">
        <v>0.55176223030426808</v>
      </c>
      <c r="L216" s="57">
        <v>0.55176223030426808</v>
      </c>
      <c r="M216" s="57">
        <v>0.55176223030426808</v>
      </c>
      <c r="N216" s="57">
        <v>0.55176223030426808</v>
      </c>
      <c r="O216" s="57">
        <v>0.44830681212221779</v>
      </c>
      <c r="P216" s="62">
        <f>IF(h&lt;=2.5,0.2,(3.13+4.69*LOG(h))^-1)</f>
        <v>0.1801980919676737</v>
      </c>
    </row>
    <row r="217" spans="1:16" s="47" customFormat="1" hidden="1" x14ac:dyDescent="0.2">
      <c r="A217" s="61" t="s">
        <v>40</v>
      </c>
      <c r="B217" s="57">
        <f t="array" ref="B217:O217">B210:O210</f>
        <v>0.54758078951812761</v>
      </c>
      <c r="C217" s="62">
        <v>0.79399214480128499</v>
      </c>
      <c r="D217" s="62">
        <v>0.65709694742175306</v>
      </c>
      <c r="E217" s="62">
        <v>0.65709694742175306</v>
      </c>
      <c r="F217" s="62">
        <v>0.65709694742175306</v>
      </c>
      <c r="G217" s="62">
        <v>0.65709694742175306</v>
      </c>
      <c r="H217" s="62">
        <v>0.65709694742175306</v>
      </c>
      <c r="I217" s="57">
        <v>0</v>
      </c>
      <c r="J217" s="57">
        <v>0.35592751318678295</v>
      </c>
      <c r="K217" s="57">
        <v>0.4380646316145021</v>
      </c>
      <c r="L217" s="57">
        <v>0.4380646316145021</v>
      </c>
      <c r="M217" s="57">
        <v>0.4380646316145021</v>
      </c>
      <c r="N217" s="57">
        <v>0.4380646316145021</v>
      </c>
      <c r="O217" s="57">
        <v>0.35592751318678295</v>
      </c>
      <c r="P217" s="62">
        <f>IF(h&lt;=2.5,0.25,(2.13+4.69*LOG(h))^-1)</f>
        <v>0.21980687066242854</v>
      </c>
    </row>
    <row r="218" spans="1:16" s="47" customFormat="1" ht="25.5" hidden="1" x14ac:dyDescent="0.2">
      <c r="A218" s="64" t="s">
        <v>41</v>
      </c>
      <c r="B218" s="57">
        <f t="array" ref="B218:O218">B211:O211</f>
        <v>0.44303439148347867</v>
      </c>
      <c r="C218" s="62">
        <v>0.64239986765104407</v>
      </c>
      <c r="D218" s="62">
        <v>0.53164126978017434</v>
      </c>
      <c r="E218" s="62">
        <v>0.53164126978017434</v>
      </c>
      <c r="F218" s="62">
        <v>0.53164126978017434</v>
      </c>
      <c r="G218" s="62">
        <v>0.53164126978017434</v>
      </c>
      <c r="H218" s="62">
        <v>0.53164126978017434</v>
      </c>
      <c r="I218" s="57">
        <v>0</v>
      </c>
      <c r="J218" s="57">
        <v>0.28797235446426117</v>
      </c>
      <c r="K218" s="57">
        <v>0.35442751318678295</v>
      </c>
      <c r="L218" s="57">
        <v>0.35442751318678295</v>
      </c>
      <c r="M218" s="57">
        <v>0.35442751318678295</v>
      </c>
      <c r="N218" s="57">
        <v>0.35442751318678295</v>
      </c>
      <c r="O218" s="57">
        <v>0.28797235446426117</v>
      </c>
      <c r="P218" s="62">
        <f>IF(h&lt;=2.5,0.3,(1.47+4.69*LOG(h))^-1)</f>
        <v>0.25710587104503801</v>
      </c>
    </row>
  </sheetData>
  <sheetProtection algorithmName="SHA-512" hashValue="J/IhppBvgelgfPh6Coq35koP+WCPNYKdsAO7tqwiID9pyYRV5gnogoUY2cleD/8jmOaFzuoX/EF+EpRLiFTvrw==" saltValue="eKvvo+YCG1Zc4x/t3sjEvQ==" spinCount="100000" sheet="1" objects="1" scenarios="1" selectLockedCells="1"/>
  <mergeCells count="5">
    <mergeCell ref="C1:H1"/>
    <mergeCell ref="A2:H2"/>
    <mergeCell ref="A3:H3"/>
    <mergeCell ref="C9:H9"/>
    <mergeCell ref="J9:O9"/>
  </mergeCells>
  <conditionalFormatting sqref="B30 B24 B16 B34">
    <cfRule type="cellIs" dxfId="0" priority="1" stopIfTrue="1" operator="lessThan">
      <formula>0</formula>
    </cfRule>
  </conditionalFormatting>
  <dataValidations count="2">
    <dataValidation type="list" allowBlank="1" showInputMessage="1" showErrorMessage="1" sqref="A26:A29 A13:A15 A48:A60 A66:A68 A36:A42 A74:A75 A18:A23">
      <formula1>OFFSET(Material,1,0,ROWS(Material)-1,1)</formula1>
    </dataValidation>
    <dataValidation type="list" allowBlank="1" showInputMessage="1" showErrorMessage="1" sqref="A5">
      <formula1>$A$208:$A$218</formula1>
    </dataValidation>
  </dataValidations>
  <hyperlinks>
    <hyperlink ref="A131" r:id="rId1"/>
    <hyperlink ref="C1:H1" r:id="rId2" display="http://www.vital-office.de/"/>
  </hyperlinks>
  <pageMargins left="0.78740157480314965" right="0.23622047244094491" top="0.74803149606299213" bottom="0.74803149606299213" header="0.31496062992125984" footer="0.31496062992125984"/>
  <pageSetup paperSize="9" scale="93" fitToHeight="0" orientation="portrait" r:id="rId3"/>
  <headerFooter alignWithMargins="0">
    <oddFooter>&amp;L&amp;10(c) www-Vital-Office.net |  &amp;F &amp;A &amp;D &amp;T&amp;R&amp;10&amp;P/&amp;N</oddFooter>
  </headerFooter>
  <rowBreaks count="3" manualBreakCount="3">
    <brk id="45" max="7" man="1"/>
    <brk id="79" max="7" man="1"/>
    <brk id="128" max="7" man="1"/>
  </rowBreak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>
    <pageSetUpPr fitToPage="1"/>
  </sheetPr>
  <dimension ref="A1:H81"/>
  <sheetViews>
    <sheetView zoomScaleNormal="100" workbookViewId="0">
      <pane xSplit="1" ySplit="1" topLeftCell="B20" activePane="bottomRight" state="frozen"/>
      <selection activeCell="A64" sqref="A64"/>
      <selection pane="topRight" activeCell="A64" sqref="A64"/>
      <selection pane="bottomLeft" activeCell="A64" sqref="A64"/>
      <selection pane="bottomRight" activeCell="A68" sqref="A68"/>
    </sheetView>
  </sheetViews>
  <sheetFormatPr baseColWidth="10" defaultRowHeight="15" x14ac:dyDescent="0.2"/>
  <cols>
    <col min="1" max="1" width="39.33203125" style="117" bestFit="1" customWidth="1"/>
    <col min="2" max="7" width="6.77734375" style="117" customWidth="1"/>
    <col min="8" max="8" width="33.44140625" style="117" customWidth="1"/>
    <col min="9" max="16384" width="11.5546875" style="117"/>
  </cols>
  <sheetData>
    <row r="1" spans="1:8" ht="15.75" x14ac:dyDescent="0.25">
      <c r="A1" s="65" t="s">
        <v>0</v>
      </c>
      <c r="B1" s="66" t="s">
        <v>1</v>
      </c>
      <c r="C1" s="66" t="s">
        <v>2</v>
      </c>
      <c r="D1" s="66" t="s">
        <v>3</v>
      </c>
      <c r="E1" s="66" t="s">
        <v>4</v>
      </c>
      <c r="F1" s="66" t="s">
        <v>5</v>
      </c>
      <c r="G1" s="67" t="s">
        <v>6</v>
      </c>
      <c r="H1" s="68" t="s">
        <v>64</v>
      </c>
    </row>
    <row r="2" spans="1:8" x14ac:dyDescent="0.2">
      <c r="A2" s="69" t="s">
        <v>16</v>
      </c>
      <c r="B2" s="70">
        <v>1</v>
      </c>
      <c r="C2" s="70">
        <v>1</v>
      </c>
      <c r="D2" s="70">
        <v>1</v>
      </c>
      <c r="E2" s="70">
        <v>1</v>
      </c>
      <c r="F2" s="70">
        <v>1</v>
      </c>
      <c r="G2" s="71">
        <v>1</v>
      </c>
      <c r="H2" s="72"/>
    </row>
    <row r="3" spans="1:8" x14ac:dyDescent="0.2">
      <c r="A3" s="73" t="s">
        <v>27</v>
      </c>
      <c r="B3" s="74">
        <v>0.01</v>
      </c>
      <c r="C3" s="74">
        <v>0.04</v>
      </c>
      <c r="D3" s="74">
        <v>0.15</v>
      </c>
      <c r="E3" s="74">
        <v>0.41</v>
      </c>
      <c r="F3" s="74">
        <v>0.68</v>
      </c>
      <c r="G3" s="75">
        <v>0.9</v>
      </c>
      <c r="H3" s="76"/>
    </row>
    <row r="4" spans="1:8" x14ac:dyDescent="0.2">
      <c r="A4" s="73" t="s">
        <v>28</v>
      </c>
      <c r="B4" s="74">
        <v>0.09</v>
      </c>
      <c r="C4" s="74">
        <v>0.28999999999999998</v>
      </c>
      <c r="D4" s="74">
        <v>0.68</v>
      </c>
      <c r="E4" s="74">
        <v>0.95</v>
      </c>
      <c r="F4" s="74">
        <v>0.95</v>
      </c>
      <c r="G4" s="75">
        <v>0.91</v>
      </c>
      <c r="H4" s="76"/>
    </row>
    <row r="5" spans="1:8" x14ac:dyDescent="0.2">
      <c r="A5" s="73" t="s">
        <v>29</v>
      </c>
      <c r="B5" s="74">
        <v>0.26</v>
      </c>
      <c r="C5" s="74">
        <v>0.55000000000000004</v>
      </c>
      <c r="D5" s="74">
        <v>0.91</v>
      </c>
      <c r="E5" s="74">
        <v>0.98</v>
      </c>
      <c r="F5" s="74">
        <v>0.76</v>
      </c>
      <c r="G5" s="75">
        <v>0.92</v>
      </c>
      <c r="H5" s="76"/>
    </row>
    <row r="6" spans="1:8" x14ac:dyDescent="0.2">
      <c r="A6" s="73" t="s">
        <v>30</v>
      </c>
      <c r="B6" s="74">
        <v>0.42</v>
      </c>
      <c r="C6" s="74">
        <v>0.74</v>
      </c>
      <c r="D6" s="74">
        <v>0.96</v>
      </c>
      <c r="E6" s="74">
        <v>0.79</v>
      </c>
      <c r="F6" s="74">
        <v>0.83</v>
      </c>
      <c r="G6" s="75">
        <v>0.94</v>
      </c>
      <c r="H6" s="76"/>
    </row>
    <row r="7" spans="1:8" x14ac:dyDescent="0.2">
      <c r="A7" s="73" t="s">
        <v>31</v>
      </c>
      <c r="B7" s="74">
        <v>0.4</v>
      </c>
      <c r="C7" s="74">
        <v>0.85000000000000009</v>
      </c>
      <c r="D7" s="74">
        <v>0.89999999999999991</v>
      </c>
      <c r="E7" s="74">
        <v>0.70000000000000007</v>
      </c>
      <c r="F7" s="74">
        <v>0.75</v>
      </c>
      <c r="G7" s="75">
        <v>0.95</v>
      </c>
      <c r="H7" s="76"/>
    </row>
    <row r="8" spans="1:8" x14ac:dyDescent="0.2">
      <c r="A8" s="73" t="s">
        <v>112</v>
      </c>
      <c r="B8" s="74">
        <v>0.66</v>
      </c>
      <c r="C8" s="74">
        <v>0.64</v>
      </c>
      <c r="D8" s="74">
        <v>0.41</v>
      </c>
      <c r="E8" s="74">
        <v>0.23</v>
      </c>
      <c r="F8" s="74">
        <v>0.12</v>
      </c>
      <c r="G8" s="75">
        <v>0.19</v>
      </c>
      <c r="H8" s="76"/>
    </row>
    <row r="9" spans="1:8" x14ac:dyDescent="0.2">
      <c r="A9" s="73" t="s">
        <v>113</v>
      </c>
      <c r="B9" s="74">
        <v>0.87</v>
      </c>
      <c r="C9" s="74">
        <v>0.98</v>
      </c>
      <c r="D9" s="74">
        <v>0.67</v>
      </c>
      <c r="E9" s="74">
        <v>0.48</v>
      </c>
      <c r="F9" s="74">
        <v>0.23</v>
      </c>
      <c r="G9" s="75">
        <v>0.27</v>
      </c>
      <c r="H9" s="76"/>
    </row>
    <row r="10" spans="1:8" x14ac:dyDescent="0.2">
      <c r="A10" s="73" t="s">
        <v>114</v>
      </c>
      <c r="B10" s="74">
        <v>1.59</v>
      </c>
      <c r="C10" s="74">
        <v>1.1200000000000001</v>
      </c>
      <c r="D10" s="74">
        <v>0.76</v>
      </c>
      <c r="E10" s="74">
        <v>0.37</v>
      </c>
      <c r="F10" s="74">
        <v>0.18</v>
      </c>
      <c r="G10" s="75">
        <v>0.23</v>
      </c>
      <c r="H10" s="76"/>
    </row>
    <row r="11" spans="1:8" s="118" customFormat="1" x14ac:dyDescent="0.2">
      <c r="A11" s="77" t="s">
        <v>100</v>
      </c>
      <c r="B11" s="78">
        <v>0.02</v>
      </c>
      <c r="C11" s="78">
        <v>0.04</v>
      </c>
      <c r="D11" s="78">
        <v>7.0000000000000007E-2</v>
      </c>
      <c r="E11" s="78">
        <v>0.19</v>
      </c>
      <c r="F11" s="78">
        <v>0.28999999999999998</v>
      </c>
      <c r="G11" s="79">
        <v>0.35</v>
      </c>
      <c r="H11" s="80" t="s">
        <v>63</v>
      </c>
    </row>
    <row r="12" spans="1:8" s="118" customFormat="1" x14ac:dyDescent="0.2">
      <c r="A12" s="77" t="s">
        <v>101</v>
      </c>
      <c r="B12" s="81">
        <v>0.04</v>
      </c>
      <c r="C12" s="81">
        <v>7.0000000000000007E-2</v>
      </c>
      <c r="D12" s="81">
        <v>0.14000000000000001</v>
      </c>
      <c r="E12" s="81">
        <v>0.3</v>
      </c>
      <c r="F12" s="81">
        <v>0.51</v>
      </c>
      <c r="G12" s="80">
        <v>0.78</v>
      </c>
      <c r="H12" s="80" t="s">
        <v>63</v>
      </c>
    </row>
    <row r="13" spans="1:8" s="118" customFormat="1" x14ac:dyDescent="0.2">
      <c r="A13" s="77" t="s">
        <v>102</v>
      </c>
      <c r="B13" s="81">
        <v>0.02</v>
      </c>
      <c r="C13" s="81">
        <v>0.04</v>
      </c>
      <c r="D13" s="81">
        <v>0.12</v>
      </c>
      <c r="E13" s="81">
        <v>0.2</v>
      </c>
      <c r="F13" s="81">
        <v>0.36</v>
      </c>
      <c r="G13" s="80">
        <v>0.56999999999999995</v>
      </c>
      <c r="H13" s="80" t="s">
        <v>63</v>
      </c>
    </row>
    <row r="14" spans="1:8" s="118" customFormat="1" x14ac:dyDescent="0.2">
      <c r="A14" s="77" t="s">
        <v>103</v>
      </c>
      <c r="B14" s="81">
        <v>7.0000000000000007E-2</v>
      </c>
      <c r="C14" s="81">
        <v>0.21</v>
      </c>
      <c r="D14" s="81">
        <v>0.56999999999999995</v>
      </c>
      <c r="E14" s="81">
        <v>0.68</v>
      </c>
      <c r="F14" s="81">
        <v>0.81</v>
      </c>
      <c r="G14" s="80">
        <v>0.72</v>
      </c>
      <c r="H14" s="80" t="s">
        <v>63</v>
      </c>
    </row>
    <row r="15" spans="1:8" s="119" customFormat="1" x14ac:dyDescent="0.2">
      <c r="A15" s="77" t="s">
        <v>97</v>
      </c>
      <c r="B15" s="81">
        <v>0.04</v>
      </c>
      <c r="C15" s="81">
        <v>0.04</v>
      </c>
      <c r="D15" s="81">
        <v>0.05</v>
      </c>
      <c r="E15" s="81">
        <v>0.06</v>
      </c>
      <c r="F15" s="81">
        <v>0.06</v>
      </c>
      <c r="G15" s="80">
        <v>0.06</v>
      </c>
      <c r="H15" s="80" t="s">
        <v>63</v>
      </c>
    </row>
    <row r="16" spans="1:8" s="119" customFormat="1" x14ac:dyDescent="0.2">
      <c r="A16" s="77" t="s">
        <v>98</v>
      </c>
      <c r="B16" s="81">
        <v>0.2</v>
      </c>
      <c r="C16" s="81">
        <v>0.15</v>
      </c>
      <c r="D16" s="81">
        <v>0.1</v>
      </c>
      <c r="E16" s="81">
        <v>0.09</v>
      </c>
      <c r="F16" s="81">
        <v>0.06</v>
      </c>
      <c r="G16" s="80">
        <v>0.1</v>
      </c>
      <c r="H16" s="80" t="s">
        <v>63</v>
      </c>
    </row>
    <row r="17" spans="1:8" s="119" customFormat="1" x14ac:dyDescent="0.2">
      <c r="A17" s="77" t="s">
        <v>99</v>
      </c>
      <c r="B17" s="81">
        <v>0.15</v>
      </c>
      <c r="C17" s="81">
        <v>0.08</v>
      </c>
      <c r="D17" s="81">
        <v>7.0000000000000007E-2</v>
      </c>
      <c r="E17" s="81">
        <v>0.06</v>
      </c>
      <c r="F17" s="81">
        <v>0.06</v>
      </c>
      <c r="G17" s="80">
        <v>0.06</v>
      </c>
      <c r="H17" s="80" t="s">
        <v>63</v>
      </c>
    </row>
    <row r="18" spans="1:8" s="119" customFormat="1" x14ac:dyDescent="0.2">
      <c r="A18" s="77" t="s">
        <v>104</v>
      </c>
      <c r="B18" s="81">
        <v>0.01</v>
      </c>
      <c r="C18" s="81">
        <v>0.02</v>
      </c>
      <c r="D18" s="81">
        <v>0.01</v>
      </c>
      <c r="E18" s="81">
        <v>0.03</v>
      </c>
      <c r="F18" s="81">
        <v>0.05</v>
      </c>
      <c r="G18" s="80">
        <v>0.05</v>
      </c>
      <c r="H18" s="80" t="s">
        <v>63</v>
      </c>
    </row>
    <row r="19" spans="1:8" s="119" customFormat="1" x14ac:dyDescent="0.2">
      <c r="A19" s="77" t="s">
        <v>105</v>
      </c>
      <c r="B19" s="81">
        <v>0.02</v>
      </c>
      <c r="C19" s="81">
        <v>0.02</v>
      </c>
      <c r="D19" s="81">
        <v>0.03</v>
      </c>
      <c r="E19" s="81">
        <v>0.03</v>
      </c>
      <c r="F19" s="81">
        <v>0.04</v>
      </c>
      <c r="G19" s="80">
        <v>0.04</v>
      </c>
      <c r="H19" s="80" t="s">
        <v>63</v>
      </c>
    </row>
    <row r="20" spans="1:8" s="120" customFormat="1" x14ac:dyDescent="0.2">
      <c r="A20" s="82" t="s">
        <v>93</v>
      </c>
      <c r="B20" s="83">
        <v>0.02</v>
      </c>
      <c r="C20" s="83">
        <v>0.02</v>
      </c>
      <c r="D20" s="83">
        <v>0.03</v>
      </c>
      <c r="E20" s="83">
        <v>0.04</v>
      </c>
      <c r="F20" s="83">
        <v>0.05</v>
      </c>
      <c r="G20" s="84">
        <v>0.05</v>
      </c>
      <c r="H20" s="84" t="s">
        <v>63</v>
      </c>
    </row>
    <row r="21" spans="1:8" s="120" customFormat="1" x14ac:dyDescent="0.2">
      <c r="A21" s="82" t="s">
        <v>85</v>
      </c>
      <c r="B21" s="85">
        <v>0.01</v>
      </c>
      <c r="C21" s="85">
        <v>0.01</v>
      </c>
      <c r="D21" s="85">
        <v>0.01</v>
      </c>
      <c r="E21" s="85">
        <v>0.02</v>
      </c>
      <c r="F21" s="85">
        <v>0.02</v>
      </c>
      <c r="G21" s="86">
        <v>0.02</v>
      </c>
      <c r="H21" s="84"/>
    </row>
    <row r="22" spans="1:8" s="120" customFormat="1" x14ac:dyDescent="0.2">
      <c r="A22" s="82" t="s">
        <v>89</v>
      </c>
      <c r="B22" s="83">
        <v>0.02</v>
      </c>
      <c r="C22" s="83">
        <v>0.02</v>
      </c>
      <c r="D22" s="83">
        <v>0.03</v>
      </c>
      <c r="E22" s="83">
        <v>0.03</v>
      </c>
      <c r="F22" s="83">
        <v>0.04</v>
      </c>
      <c r="G22" s="84">
        <v>0.06</v>
      </c>
      <c r="H22" s="84" t="s">
        <v>63</v>
      </c>
    </row>
    <row r="23" spans="1:8" s="120" customFormat="1" x14ac:dyDescent="0.2">
      <c r="A23" s="82" t="s">
        <v>90</v>
      </c>
      <c r="B23" s="83">
        <v>0.03</v>
      </c>
      <c r="C23" s="83">
        <v>0.03</v>
      </c>
      <c r="D23" s="83">
        <v>0.02</v>
      </c>
      <c r="E23" s="83">
        <v>0.04</v>
      </c>
      <c r="F23" s="83">
        <v>0.05</v>
      </c>
      <c r="G23" s="84">
        <v>0.05</v>
      </c>
      <c r="H23" s="84" t="s">
        <v>63</v>
      </c>
    </row>
    <row r="24" spans="1:8" s="120" customFormat="1" x14ac:dyDescent="0.2">
      <c r="A24" s="82" t="s">
        <v>91</v>
      </c>
      <c r="B24" s="83">
        <v>0.02</v>
      </c>
      <c r="C24" s="83">
        <v>0.03</v>
      </c>
      <c r="D24" s="83">
        <v>0.04</v>
      </c>
      <c r="E24" s="83">
        <v>0.05</v>
      </c>
      <c r="F24" s="83">
        <v>7.0000000000000007E-2</v>
      </c>
      <c r="G24" s="84">
        <v>0.08</v>
      </c>
      <c r="H24" s="84" t="s">
        <v>63</v>
      </c>
    </row>
    <row r="25" spans="1:8" s="120" customFormat="1" x14ac:dyDescent="0.2">
      <c r="A25" s="82" t="s">
        <v>92</v>
      </c>
      <c r="B25" s="83">
        <v>0.01</v>
      </c>
      <c r="C25" s="83">
        <v>0.01</v>
      </c>
      <c r="D25" s="83">
        <v>0.02</v>
      </c>
      <c r="E25" s="83">
        <v>0.02</v>
      </c>
      <c r="F25" s="83">
        <v>0.03</v>
      </c>
      <c r="G25" s="84">
        <v>0.03</v>
      </c>
      <c r="H25" s="84" t="s">
        <v>63</v>
      </c>
    </row>
    <row r="26" spans="1:8" s="120" customFormat="1" x14ac:dyDescent="0.2">
      <c r="A26" s="82" t="s">
        <v>87</v>
      </c>
      <c r="B26" s="83">
        <v>0.03</v>
      </c>
      <c r="C26" s="83">
        <v>0.03</v>
      </c>
      <c r="D26" s="83">
        <v>0.03</v>
      </c>
      <c r="E26" s="83">
        <v>0.04</v>
      </c>
      <c r="F26" s="83">
        <v>0.05</v>
      </c>
      <c r="G26" s="84">
        <v>0.06</v>
      </c>
      <c r="H26" s="84" t="s">
        <v>63</v>
      </c>
    </row>
    <row r="27" spans="1:8" s="120" customFormat="1" x14ac:dyDescent="0.2">
      <c r="A27" s="82" t="s">
        <v>88</v>
      </c>
      <c r="B27" s="83">
        <v>0.11</v>
      </c>
      <c r="C27" s="83">
        <v>0.22</v>
      </c>
      <c r="D27" s="83">
        <v>0.34</v>
      </c>
      <c r="E27" s="83">
        <v>0.35</v>
      </c>
      <c r="F27" s="83">
        <v>0.51</v>
      </c>
      <c r="G27" s="84">
        <v>0.43</v>
      </c>
      <c r="H27" s="84" t="s">
        <v>63</v>
      </c>
    </row>
    <row r="28" spans="1:8" s="120" customFormat="1" x14ac:dyDescent="0.2">
      <c r="A28" s="82" t="s">
        <v>86</v>
      </c>
      <c r="B28" s="85">
        <v>0.16</v>
      </c>
      <c r="C28" s="85">
        <v>0.13</v>
      </c>
      <c r="D28" s="85">
        <v>0.15</v>
      </c>
      <c r="E28" s="85">
        <v>0.11</v>
      </c>
      <c r="F28" s="85">
        <v>0.13</v>
      </c>
      <c r="G28" s="86">
        <v>0.14000000000000001</v>
      </c>
      <c r="H28" s="84"/>
    </row>
    <row r="29" spans="1:8" s="120" customFormat="1" x14ac:dyDescent="0.2">
      <c r="A29" s="82" t="s">
        <v>108</v>
      </c>
      <c r="B29" s="83">
        <v>0.15</v>
      </c>
      <c r="C29" s="83">
        <v>0.15</v>
      </c>
      <c r="D29" s="83">
        <v>0.1</v>
      </c>
      <c r="E29" s="83">
        <v>0.15</v>
      </c>
      <c r="F29" s="83">
        <v>0.15</v>
      </c>
      <c r="G29" s="84">
        <v>0.1</v>
      </c>
      <c r="H29" s="84" t="s">
        <v>63</v>
      </c>
    </row>
    <row r="30" spans="1:8" s="120" customFormat="1" x14ac:dyDescent="0.2">
      <c r="A30" s="82" t="s">
        <v>109</v>
      </c>
      <c r="B30" s="83">
        <v>0.35</v>
      </c>
      <c r="C30" s="83">
        <v>0.55000000000000004</v>
      </c>
      <c r="D30" s="83">
        <v>0.65</v>
      </c>
      <c r="E30" s="83">
        <v>0.7</v>
      </c>
      <c r="F30" s="83">
        <v>0.65</v>
      </c>
      <c r="G30" s="84">
        <v>0.6</v>
      </c>
      <c r="H30" s="84" t="s">
        <v>63</v>
      </c>
    </row>
    <row r="31" spans="1:8" s="120" customFormat="1" x14ac:dyDescent="0.2">
      <c r="A31" s="82" t="s">
        <v>110</v>
      </c>
      <c r="B31" s="83">
        <v>0.5</v>
      </c>
      <c r="C31" s="83">
        <v>0.65</v>
      </c>
      <c r="D31" s="83">
        <v>0.7</v>
      </c>
      <c r="E31" s="83">
        <v>0.85</v>
      </c>
      <c r="F31" s="83">
        <v>1</v>
      </c>
      <c r="G31" s="84">
        <v>1</v>
      </c>
      <c r="H31" s="84" t="s">
        <v>63</v>
      </c>
    </row>
    <row r="32" spans="1:8" s="120" customFormat="1" x14ac:dyDescent="0.2">
      <c r="A32" s="82" t="s">
        <v>111</v>
      </c>
      <c r="B32" s="83">
        <v>0.45</v>
      </c>
      <c r="C32" s="83">
        <v>0.6</v>
      </c>
      <c r="D32" s="83">
        <v>0.7</v>
      </c>
      <c r="E32" s="83">
        <v>0.6</v>
      </c>
      <c r="F32" s="83">
        <v>0.55000000000000004</v>
      </c>
      <c r="G32" s="84">
        <v>0.65</v>
      </c>
      <c r="H32" s="84" t="s">
        <v>63</v>
      </c>
    </row>
    <row r="33" spans="1:8" x14ac:dyDescent="0.2">
      <c r="A33" s="87" t="s">
        <v>94</v>
      </c>
      <c r="B33" s="88">
        <v>0.28000000000000003</v>
      </c>
      <c r="C33" s="88">
        <v>0.2</v>
      </c>
      <c r="D33" s="88">
        <v>0.11</v>
      </c>
      <c r="E33" s="88">
        <v>0.06</v>
      </c>
      <c r="F33" s="88">
        <v>0.03</v>
      </c>
      <c r="G33" s="76">
        <v>0.02</v>
      </c>
      <c r="H33" s="89" t="s">
        <v>63</v>
      </c>
    </row>
    <row r="34" spans="1:8" x14ac:dyDescent="0.2">
      <c r="A34" s="90" t="s">
        <v>12</v>
      </c>
      <c r="B34" s="91">
        <v>1</v>
      </c>
      <c r="C34" s="91">
        <v>1</v>
      </c>
      <c r="D34" s="91">
        <v>1</v>
      </c>
      <c r="E34" s="91">
        <v>1</v>
      </c>
      <c r="F34" s="91">
        <v>1</v>
      </c>
      <c r="G34" s="92">
        <v>1</v>
      </c>
      <c r="H34" s="76"/>
    </row>
    <row r="35" spans="1:8" x14ac:dyDescent="0.2">
      <c r="A35" s="87" t="s">
        <v>96</v>
      </c>
      <c r="B35" s="88">
        <v>0.1</v>
      </c>
      <c r="C35" s="88">
        <v>0.08</v>
      </c>
      <c r="D35" s="88">
        <v>0.06</v>
      </c>
      <c r="E35" s="88">
        <v>0.05</v>
      </c>
      <c r="F35" s="88">
        <v>0.05</v>
      </c>
      <c r="G35" s="76">
        <v>0.05</v>
      </c>
      <c r="H35" s="89" t="s">
        <v>63</v>
      </c>
    </row>
    <row r="36" spans="1:8" x14ac:dyDescent="0.2">
      <c r="A36" s="87" t="s">
        <v>95</v>
      </c>
      <c r="B36" s="88">
        <v>0.14000000000000001</v>
      </c>
      <c r="C36" s="88">
        <v>0.1</v>
      </c>
      <c r="D36" s="88">
        <v>0.06</v>
      </c>
      <c r="E36" s="88">
        <v>0.08</v>
      </c>
      <c r="F36" s="88">
        <v>0.1</v>
      </c>
      <c r="G36" s="76">
        <v>0.1</v>
      </c>
      <c r="H36" s="76"/>
    </row>
    <row r="37" spans="1:8" x14ac:dyDescent="0.2">
      <c r="A37" s="87" t="s">
        <v>18</v>
      </c>
      <c r="B37" s="88">
        <v>0.3</v>
      </c>
      <c r="C37" s="88">
        <v>0.25</v>
      </c>
      <c r="D37" s="88">
        <v>0.15</v>
      </c>
      <c r="E37" s="88">
        <v>0.1</v>
      </c>
      <c r="F37" s="88">
        <v>0.1</v>
      </c>
      <c r="G37" s="76">
        <v>7.0000000000000007E-2</v>
      </c>
      <c r="H37" s="76"/>
    </row>
    <row r="38" spans="1:8" s="121" customFormat="1" x14ac:dyDescent="0.2">
      <c r="A38" s="93" t="s">
        <v>75</v>
      </c>
      <c r="B38" s="94">
        <v>0.15</v>
      </c>
      <c r="C38" s="94">
        <v>0.25</v>
      </c>
      <c r="D38" s="94">
        <v>0.55000000000000004</v>
      </c>
      <c r="E38" s="94">
        <v>0.8</v>
      </c>
      <c r="F38" s="94">
        <v>0.9</v>
      </c>
      <c r="G38" s="89">
        <v>0.9</v>
      </c>
      <c r="H38" s="89" t="s">
        <v>66</v>
      </c>
    </row>
    <row r="39" spans="1:8" s="121" customFormat="1" x14ac:dyDescent="0.2">
      <c r="A39" s="93" t="s">
        <v>76</v>
      </c>
      <c r="B39" s="94">
        <v>0.05</v>
      </c>
      <c r="C39" s="94">
        <v>0.1</v>
      </c>
      <c r="D39" s="94">
        <v>0.15</v>
      </c>
      <c r="E39" s="94">
        <v>0.35</v>
      </c>
      <c r="F39" s="94">
        <v>0.45</v>
      </c>
      <c r="G39" s="89">
        <v>0.6</v>
      </c>
      <c r="H39" s="89" t="s">
        <v>66</v>
      </c>
    </row>
    <row r="40" spans="1:8" s="121" customFormat="1" x14ac:dyDescent="0.2">
      <c r="A40" s="93" t="s">
        <v>74</v>
      </c>
      <c r="B40" s="94">
        <v>0.05</v>
      </c>
      <c r="C40" s="94">
        <v>0.1</v>
      </c>
      <c r="D40" s="94">
        <v>0.2</v>
      </c>
      <c r="E40" s="94">
        <v>0.35</v>
      </c>
      <c r="F40" s="94">
        <v>0.5</v>
      </c>
      <c r="G40" s="89">
        <v>0.65</v>
      </c>
      <c r="H40" s="89" t="s">
        <v>63</v>
      </c>
    </row>
    <row r="41" spans="1:8" s="121" customFormat="1" x14ac:dyDescent="0.2">
      <c r="A41" s="93" t="s">
        <v>67</v>
      </c>
      <c r="B41" s="94">
        <v>0.12</v>
      </c>
      <c r="C41" s="94">
        <v>0.45</v>
      </c>
      <c r="D41" s="94">
        <v>0.8</v>
      </c>
      <c r="E41" s="94">
        <v>1.2</v>
      </c>
      <c r="F41" s="94">
        <v>1.3</v>
      </c>
      <c r="G41" s="89">
        <v>1.4</v>
      </c>
      <c r="H41" s="89" t="s">
        <v>63</v>
      </c>
    </row>
    <row r="42" spans="1:8" s="121" customFormat="1" x14ac:dyDescent="0.2">
      <c r="A42" s="95" t="s">
        <v>68</v>
      </c>
      <c r="B42" s="96">
        <v>0.15</v>
      </c>
      <c r="C42" s="96">
        <v>0.3</v>
      </c>
      <c r="D42" s="96">
        <v>0.4</v>
      </c>
      <c r="E42" s="96">
        <v>0.45</v>
      </c>
      <c r="F42" s="96">
        <v>0.55000000000000004</v>
      </c>
      <c r="G42" s="97">
        <v>0.55000000000000004</v>
      </c>
      <c r="H42" s="89" t="s">
        <v>66</v>
      </c>
    </row>
    <row r="43" spans="1:8" s="121" customFormat="1" x14ac:dyDescent="0.2">
      <c r="A43" s="93" t="s">
        <v>69</v>
      </c>
      <c r="B43" s="94">
        <v>0.1</v>
      </c>
      <c r="C43" s="94">
        <v>0.15</v>
      </c>
      <c r="D43" s="94">
        <v>0.2</v>
      </c>
      <c r="E43" s="94">
        <v>0.25</v>
      </c>
      <c r="F43" s="94">
        <v>0.25</v>
      </c>
      <c r="G43" s="89">
        <v>0.25</v>
      </c>
      <c r="H43" s="89" t="s">
        <v>66</v>
      </c>
    </row>
    <row r="44" spans="1:8" s="121" customFormat="1" x14ac:dyDescent="0.2">
      <c r="A44" s="93" t="s">
        <v>70</v>
      </c>
      <c r="B44" s="98">
        <v>0.05</v>
      </c>
      <c r="C44" s="98">
        <v>0.05</v>
      </c>
      <c r="D44" s="98">
        <v>0.05</v>
      </c>
      <c r="E44" s="98">
        <v>0.1</v>
      </c>
      <c r="F44" s="98">
        <v>0.1</v>
      </c>
      <c r="G44" s="99">
        <v>0.15</v>
      </c>
      <c r="H44" s="89" t="s">
        <v>66</v>
      </c>
    </row>
    <row r="45" spans="1:8" s="121" customFormat="1" x14ac:dyDescent="0.2">
      <c r="A45" s="93" t="s">
        <v>71</v>
      </c>
      <c r="B45" s="98">
        <v>0.05</v>
      </c>
      <c r="C45" s="98">
        <v>0.1</v>
      </c>
      <c r="D45" s="98">
        <v>0.15</v>
      </c>
      <c r="E45" s="98">
        <v>0.2</v>
      </c>
      <c r="F45" s="98">
        <v>0.3</v>
      </c>
      <c r="G45" s="99">
        <v>0.25</v>
      </c>
      <c r="H45" s="89" t="s">
        <v>66</v>
      </c>
    </row>
    <row r="46" spans="1:8" s="121" customFormat="1" x14ac:dyDescent="0.2">
      <c r="A46" s="93" t="s">
        <v>72</v>
      </c>
      <c r="B46" s="98">
        <v>0.05</v>
      </c>
      <c r="C46" s="98">
        <v>0.1</v>
      </c>
      <c r="D46" s="98">
        <v>0.2</v>
      </c>
      <c r="E46" s="98">
        <v>0.35</v>
      </c>
      <c r="F46" s="98">
        <v>0.4</v>
      </c>
      <c r="G46" s="99">
        <v>0.45</v>
      </c>
      <c r="H46" s="89" t="s">
        <v>66</v>
      </c>
    </row>
    <row r="47" spans="1:8" s="121" customFormat="1" x14ac:dyDescent="0.2">
      <c r="A47" s="93" t="s">
        <v>73</v>
      </c>
      <c r="B47" s="94">
        <v>0.1</v>
      </c>
      <c r="C47" s="94">
        <v>0.15</v>
      </c>
      <c r="D47" s="94">
        <v>0.35</v>
      </c>
      <c r="E47" s="94">
        <v>0.5</v>
      </c>
      <c r="F47" s="94">
        <v>0.5</v>
      </c>
      <c r="G47" s="89">
        <v>0.55000000000000004</v>
      </c>
      <c r="H47" s="89" t="s">
        <v>66</v>
      </c>
    </row>
    <row r="48" spans="1:8" x14ac:dyDescent="0.2">
      <c r="A48" s="87" t="s">
        <v>116</v>
      </c>
      <c r="B48" s="91">
        <v>0.01</v>
      </c>
      <c r="C48" s="91">
        <v>0.01</v>
      </c>
      <c r="D48" s="91">
        <v>0.01</v>
      </c>
      <c r="E48" s="91">
        <v>0.02</v>
      </c>
      <c r="F48" s="91">
        <v>0.05</v>
      </c>
      <c r="G48" s="92">
        <v>0.02</v>
      </c>
      <c r="H48" s="76"/>
    </row>
    <row r="49" spans="1:8" x14ac:dyDescent="0.2">
      <c r="A49" s="87" t="s">
        <v>120</v>
      </c>
      <c r="B49" s="88">
        <f>1.35/(1.05*1.5)</f>
        <v>0.8571428571428571</v>
      </c>
      <c r="C49" s="88">
        <f>0.61/(1.05*1.5)</f>
        <v>0.38730158730158726</v>
      </c>
      <c r="D49" s="88">
        <f>0.52/(1.05*1.5)</f>
        <v>0.33015873015873015</v>
      </c>
      <c r="E49" s="88">
        <f>0.26/(1.05*1.5)</f>
        <v>0.16507936507936508</v>
      </c>
      <c r="F49" s="88">
        <f>0.14/(1.05*1.5)</f>
        <v>8.8888888888888892E-2</v>
      </c>
      <c r="G49" s="76">
        <f>0.1/(1.05*1.5)</f>
        <v>6.3492063492063489E-2</v>
      </c>
      <c r="H49" s="76" t="s">
        <v>115</v>
      </c>
    </row>
    <row r="50" spans="1:8" x14ac:dyDescent="0.2">
      <c r="A50" s="87" t="s">
        <v>119</v>
      </c>
      <c r="B50" s="88">
        <f>0.83/(1.2*1.75)</f>
        <v>0.39523809523809522</v>
      </c>
      <c r="C50" s="88">
        <f>0.76/(1.2*1.75)</f>
        <v>0.3619047619047619</v>
      </c>
      <c r="D50" s="88">
        <f>0.52/(1.2*1.75)</f>
        <v>0.24761904761904763</v>
      </c>
      <c r="E50" s="88">
        <f>0.48/(1.2*1.75)</f>
        <v>0.22857142857142856</v>
      </c>
      <c r="F50" s="88">
        <f>0.41/(1.2*1.75)</f>
        <v>0.19523809523809521</v>
      </c>
      <c r="G50" s="76">
        <f>0.45/(1.2*1.75)</f>
        <v>0.21428571428571427</v>
      </c>
      <c r="H50" s="76" t="s">
        <v>117</v>
      </c>
    </row>
    <row r="51" spans="1:8" x14ac:dyDescent="0.2">
      <c r="A51" s="87" t="s">
        <v>118</v>
      </c>
      <c r="B51" s="88">
        <f>1.63/(1.2*1.75)</f>
        <v>0.7761904761904761</v>
      </c>
      <c r="C51" s="88">
        <f>1.84/(1.2*1.75)</f>
        <v>0.87619047619047619</v>
      </c>
      <c r="D51" s="88">
        <f>1.31/(1.2*1.75)</f>
        <v>0.62380952380952381</v>
      </c>
      <c r="E51" s="88">
        <f>1.63/(1.2*1.75)</f>
        <v>0.7761904761904761</v>
      </c>
      <c r="F51" s="88">
        <f>1.54/(1.2*1.75)</f>
        <v>0.73333333333333328</v>
      </c>
      <c r="G51" s="76">
        <f>1.56/(1.2*1.75)</f>
        <v>0.74285714285714288</v>
      </c>
      <c r="H51" s="76" t="s">
        <v>121</v>
      </c>
    </row>
    <row r="52" spans="1:8" x14ac:dyDescent="0.2">
      <c r="A52" s="87" t="s">
        <v>84</v>
      </c>
      <c r="B52" s="88">
        <v>0.3</v>
      </c>
      <c r="C52" s="88">
        <v>0.39</v>
      </c>
      <c r="D52" s="88">
        <v>0.39</v>
      </c>
      <c r="E52" s="88">
        <v>0.31</v>
      </c>
      <c r="F52" s="88">
        <v>0.28999999999999998</v>
      </c>
      <c r="G52" s="76">
        <v>0.21</v>
      </c>
      <c r="H52" s="76" t="s">
        <v>63</v>
      </c>
    </row>
    <row r="53" spans="1:8" s="118" customFormat="1" x14ac:dyDescent="0.2">
      <c r="A53" s="77" t="s">
        <v>77</v>
      </c>
      <c r="B53" s="81">
        <v>0.15</v>
      </c>
      <c r="C53" s="81">
        <v>0.25</v>
      </c>
      <c r="D53" s="81">
        <v>0.3</v>
      </c>
      <c r="E53" s="81">
        <v>0.35</v>
      </c>
      <c r="F53" s="81">
        <v>0.4</v>
      </c>
      <c r="G53" s="80">
        <v>0.4</v>
      </c>
      <c r="H53" s="80" t="s">
        <v>63</v>
      </c>
    </row>
    <row r="54" spans="1:8" s="118" customFormat="1" x14ac:dyDescent="0.2">
      <c r="A54" s="77" t="s">
        <v>78</v>
      </c>
      <c r="B54" s="81">
        <v>0.05</v>
      </c>
      <c r="C54" s="81">
        <v>0.15</v>
      </c>
      <c r="D54" s="81">
        <v>0.2</v>
      </c>
      <c r="E54" s="81">
        <v>0.1</v>
      </c>
      <c r="F54" s="81">
        <v>0.03</v>
      </c>
      <c r="G54" s="80">
        <v>0.03</v>
      </c>
      <c r="H54" s="80" t="s">
        <v>63</v>
      </c>
    </row>
    <row r="55" spans="1:8" s="118" customFormat="1" x14ac:dyDescent="0.2">
      <c r="A55" s="77" t="s">
        <v>82</v>
      </c>
      <c r="B55" s="81">
        <f t="shared" ref="B55:G55" si="0">B56/2</f>
        <v>8.2500000000000004E-2</v>
      </c>
      <c r="C55" s="81">
        <f t="shared" si="0"/>
        <v>0.13750000000000001</v>
      </c>
      <c r="D55" s="81">
        <f t="shared" si="0"/>
        <v>0.16500000000000001</v>
      </c>
      <c r="E55" s="81">
        <f t="shared" si="0"/>
        <v>0.1925</v>
      </c>
      <c r="F55" s="81">
        <f t="shared" si="0"/>
        <v>0.22000000000000003</v>
      </c>
      <c r="G55" s="81">
        <f t="shared" si="0"/>
        <v>0.22000000000000003</v>
      </c>
      <c r="H55" s="80" t="s">
        <v>83</v>
      </c>
    </row>
    <row r="56" spans="1:8" s="118" customFormat="1" x14ac:dyDescent="0.2">
      <c r="A56" s="77" t="s">
        <v>81</v>
      </c>
      <c r="B56" s="81">
        <f t="shared" ref="B56:G56" si="1">B53*1.1</f>
        <v>0.16500000000000001</v>
      </c>
      <c r="C56" s="81">
        <f t="shared" si="1"/>
        <v>0.27500000000000002</v>
      </c>
      <c r="D56" s="81">
        <f t="shared" si="1"/>
        <v>0.33</v>
      </c>
      <c r="E56" s="81">
        <f t="shared" si="1"/>
        <v>0.38500000000000001</v>
      </c>
      <c r="F56" s="81">
        <f t="shared" si="1"/>
        <v>0.44000000000000006</v>
      </c>
      <c r="G56" s="81">
        <f t="shared" si="1"/>
        <v>0.44000000000000006</v>
      </c>
      <c r="H56" s="80" t="s">
        <v>83</v>
      </c>
    </row>
    <row r="57" spans="1:8" s="118" customFormat="1" x14ac:dyDescent="0.2">
      <c r="A57" s="77" t="s">
        <v>80</v>
      </c>
      <c r="B57" s="81">
        <v>0.1</v>
      </c>
      <c r="C57" s="81">
        <v>0.2</v>
      </c>
      <c r="D57" s="81">
        <v>0.25</v>
      </c>
      <c r="E57" s="81">
        <v>0.3</v>
      </c>
      <c r="F57" s="81">
        <v>0.35</v>
      </c>
      <c r="G57" s="80">
        <v>0.35</v>
      </c>
      <c r="H57" s="80" t="s">
        <v>65</v>
      </c>
    </row>
    <row r="58" spans="1:8" s="118" customFormat="1" x14ac:dyDescent="0.2">
      <c r="A58" s="77" t="s">
        <v>79</v>
      </c>
      <c r="B58" s="78">
        <v>0.01</v>
      </c>
      <c r="C58" s="78">
        <v>0.01</v>
      </c>
      <c r="D58" s="78">
        <v>0.02</v>
      </c>
      <c r="E58" s="78">
        <v>0.03</v>
      </c>
      <c r="F58" s="78">
        <v>0.05</v>
      </c>
      <c r="G58" s="79">
        <v>0.05</v>
      </c>
      <c r="H58" s="80" t="s">
        <v>65</v>
      </c>
    </row>
    <row r="59" spans="1:8" s="118" customFormat="1" x14ac:dyDescent="0.2">
      <c r="A59" s="87" t="s">
        <v>124</v>
      </c>
      <c r="B59" s="88">
        <v>0.5</v>
      </c>
      <c r="C59" s="88">
        <v>0.4</v>
      </c>
      <c r="D59" s="88">
        <v>0.45</v>
      </c>
      <c r="E59" s="88">
        <v>0.45</v>
      </c>
      <c r="F59" s="88">
        <v>0.6</v>
      </c>
      <c r="G59" s="76">
        <v>0.7</v>
      </c>
      <c r="H59" s="76" t="s">
        <v>123</v>
      </c>
    </row>
    <row r="60" spans="1:8" s="122" customFormat="1" x14ac:dyDescent="0.2">
      <c r="A60" s="90" t="s">
        <v>14</v>
      </c>
      <c r="B60" s="91">
        <v>0.01</v>
      </c>
      <c r="C60" s="91">
        <v>0.01</v>
      </c>
      <c r="D60" s="91">
        <v>0.01</v>
      </c>
      <c r="E60" s="91">
        <v>0.02</v>
      </c>
      <c r="F60" s="91">
        <v>0.05</v>
      </c>
      <c r="G60" s="92">
        <v>0.02</v>
      </c>
      <c r="H60" s="76" t="s">
        <v>65</v>
      </c>
    </row>
    <row r="61" spans="1:8" x14ac:dyDescent="0.2">
      <c r="A61" s="87" t="s">
        <v>122</v>
      </c>
      <c r="B61" s="100">
        <v>0.15</v>
      </c>
      <c r="C61" s="100">
        <v>0.12</v>
      </c>
      <c r="D61" s="100">
        <v>0.1</v>
      </c>
      <c r="E61" s="100">
        <v>0.08</v>
      </c>
      <c r="F61" s="100">
        <v>0.08</v>
      </c>
      <c r="G61" s="101">
        <v>0.08</v>
      </c>
      <c r="H61" s="76"/>
    </row>
    <row r="62" spans="1:8" s="122" customFormat="1" x14ac:dyDescent="0.2">
      <c r="A62" s="87" t="s">
        <v>19</v>
      </c>
      <c r="B62" s="88">
        <v>0.03</v>
      </c>
      <c r="C62" s="88">
        <v>0.06</v>
      </c>
      <c r="D62" s="88">
        <v>0.13</v>
      </c>
      <c r="E62" s="88">
        <v>0.28000000000000003</v>
      </c>
      <c r="F62" s="88">
        <v>0.49</v>
      </c>
      <c r="G62" s="76">
        <v>0.56000000000000005</v>
      </c>
      <c r="H62" s="102"/>
    </row>
    <row r="63" spans="1:8" s="122" customFormat="1" x14ac:dyDescent="0.2">
      <c r="A63" s="87" t="s">
        <v>17</v>
      </c>
      <c r="B63" s="88">
        <v>0.03</v>
      </c>
      <c r="C63" s="88">
        <v>0.09</v>
      </c>
      <c r="D63" s="88">
        <v>0.24</v>
      </c>
      <c r="E63" s="88">
        <v>0.46</v>
      </c>
      <c r="F63" s="88">
        <v>0.79</v>
      </c>
      <c r="G63" s="76">
        <v>0.76</v>
      </c>
      <c r="H63" s="102"/>
    </row>
    <row r="64" spans="1:8" s="122" customFormat="1" x14ac:dyDescent="0.2">
      <c r="A64" s="103" t="s">
        <v>13</v>
      </c>
      <c r="B64" s="100">
        <v>0.05</v>
      </c>
      <c r="C64" s="100">
        <v>0.09</v>
      </c>
      <c r="D64" s="100">
        <v>0.3</v>
      </c>
      <c r="E64" s="100">
        <v>0.5</v>
      </c>
      <c r="F64" s="100">
        <v>0.8</v>
      </c>
      <c r="G64" s="101">
        <v>0.5</v>
      </c>
      <c r="H64" s="102"/>
    </row>
    <row r="65" spans="1:8" s="122" customFormat="1" x14ac:dyDescent="0.2">
      <c r="A65" s="104" t="s">
        <v>107</v>
      </c>
      <c r="B65" s="105">
        <v>0.4</v>
      </c>
      <c r="C65" s="106">
        <v>0.43</v>
      </c>
      <c r="D65" s="107">
        <v>0.56999999999999995</v>
      </c>
      <c r="E65" s="108">
        <v>0.7</v>
      </c>
      <c r="F65" s="108">
        <v>0.8</v>
      </c>
      <c r="G65" s="109">
        <v>0.8</v>
      </c>
      <c r="H65" s="89" t="s">
        <v>63</v>
      </c>
    </row>
    <row r="66" spans="1:8" s="122" customFormat="1" x14ac:dyDescent="0.2">
      <c r="A66" s="110" t="s">
        <v>106</v>
      </c>
      <c r="B66" s="111">
        <v>0.1</v>
      </c>
      <c r="C66" s="112">
        <v>0.13</v>
      </c>
      <c r="D66" s="113">
        <v>0.36</v>
      </c>
      <c r="E66" s="114">
        <v>0.31</v>
      </c>
      <c r="F66" s="114">
        <v>0.28999999999999998</v>
      </c>
      <c r="G66" s="115">
        <v>0.2</v>
      </c>
      <c r="H66" s="116" t="s">
        <v>63</v>
      </c>
    </row>
    <row r="67" spans="1:8" s="122" customFormat="1" x14ac:dyDescent="0.2">
      <c r="A67" s="126" t="s">
        <v>135</v>
      </c>
      <c r="B67" s="123">
        <v>4</v>
      </c>
      <c r="C67" s="123">
        <v>5</v>
      </c>
      <c r="D67" s="123">
        <v>6</v>
      </c>
      <c r="E67" s="123">
        <v>7</v>
      </c>
      <c r="F67" s="123">
        <v>8</v>
      </c>
      <c r="G67" s="123">
        <v>9</v>
      </c>
    </row>
    <row r="68" spans="1:8" s="122" customFormat="1" x14ac:dyDescent="0.2">
      <c r="A68" s="126" t="s">
        <v>135</v>
      </c>
    </row>
    <row r="69" spans="1:8" s="122" customFormat="1" x14ac:dyDescent="0.2">
      <c r="A69" s="126" t="s">
        <v>135</v>
      </c>
    </row>
    <row r="70" spans="1:8" s="122" customFormat="1" x14ac:dyDescent="0.2">
      <c r="A70" s="126" t="s">
        <v>135</v>
      </c>
    </row>
    <row r="71" spans="1:8" s="122" customFormat="1" x14ac:dyDescent="0.2">
      <c r="A71" s="126" t="s">
        <v>135</v>
      </c>
    </row>
    <row r="72" spans="1:8" s="124" customFormat="1" x14ac:dyDescent="0.2">
      <c r="A72" s="126" t="s">
        <v>135</v>
      </c>
      <c r="B72" s="117"/>
      <c r="C72" s="117"/>
      <c r="D72" s="117"/>
      <c r="E72" s="117"/>
      <c r="F72" s="117"/>
      <c r="G72" s="117"/>
    </row>
    <row r="73" spans="1:8" x14ac:dyDescent="0.2">
      <c r="A73" s="126" t="s">
        <v>135</v>
      </c>
      <c r="B73" s="122"/>
      <c r="C73" s="122"/>
      <c r="D73" s="122"/>
      <c r="E73" s="122"/>
      <c r="F73" s="122"/>
      <c r="G73" s="122"/>
    </row>
    <row r="74" spans="1:8" x14ac:dyDescent="0.2">
      <c r="A74" s="126" t="s">
        <v>135</v>
      </c>
      <c r="B74" s="122"/>
      <c r="C74" s="122"/>
      <c r="D74" s="122"/>
      <c r="E74" s="122"/>
      <c r="F74" s="122"/>
      <c r="G74" s="122"/>
    </row>
    <row r="75" spans="1:8" x14ac:dyDescent="0.2">
      <c r="A75" s="126" t="s">
        <v>135</v>
      </c>
      <c r="B75" s="125"/>
      <c r="C75" s="125"/>
      <c r="D75" s="125"/>
      <c r="E75" s="125"/>
      <c r="F75" s="125"/>
      <c r="G75" s="125"/>
    </row>
    <row r="76" spans="1:8" x14ac:dyDescent="0.2">
      <c r="A76" s="126" t="s">
        <v>135</v>
      </c>
    </row>
    <row r="77" spans="1:8" x14ac:dyDescent="0.2">
      <c r="A77" s="126" t="s">
        <v>135</v>
      </c>
    </row>
    <row r="78" spans="1:8" x14ac:dyDescent="0.2">
      <c r="A78" s="126" t="s">
        <v>135</v>
      </c>
    </row>
    <row r="79" spans="1:8" x14ac:dyDescent="0.2">
      <c r="A79" s="126" t="s">
        <v>135</v>
      </c>
    </row>
    <row r="80" spans="1:8" x14ac:dyDescent="0.2">
      <c r="A80" s="126" t="s">
        <v>135</v>
      </c>
    </row>
    <row r="81" spans="1:1" x14ac:dyDescent="0.2">
      <c r="A81" s="126" t="s">
        <v>135</v>
      </c>
    </row>
  </sheetData>
  <sheetProtection algorithmName="SHA-512" hashValue="9qYL+gP/Cpln4IMbfMhRMo1Dh0MbE76AWxekeF7+3889gW9TBLZ3K0+dMAWQwaRIepEHtziaxHsrOv0l1sJgNg==" saltValue="AwkdWBnqxP7UjAXXi6wAQg==" spinCount="100000" sheet="1" objects="1" scenarios="1"/>
  <phoneticPr fontId="3" type="noConversion"/>
  <pageMargins left="0.59055118110236227" right="0.59055118110236227" top="0.98425196850393704" bottom="0.98425196850393704" header="0.51181102362204722" footer="0.51181102362204722"/>
  <pageSetup paperSize="9" scale="94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>
    <pageSetUpPr fitToPage="1"/>
  </sheetPr>
  <dimension ref="A1"/>
  <sheetViews>
    <sheetView zoomScale="70" zoomScaleNormal="70" zoomScaleSheetLayoutView="100" workbookViewId="0">
      <selection activeCell="B64" sqref="B64"/>
    </sheetView>
  </sheetViews>
  <sheetFormatPr baseColWidth="10" defaultRowHeight="15" x14ac:dyDescent="0.2"/>
  <cols>
    <col min="1" max="1" width="3.109375" style="1" bestFit="1" customWidth="1"/>
    <col min="2" max="2" width="61.109375" style="1" customWidth="1"/>
    <col min="3" max="3" width="42.6640625" style="1" customWidth="1"/>
    <col min="4" max="16384" width="11.5546875" style="1"/>
  </cols>
  <sheetData/>
  <phoneticPr fontId="3" type="noConversion"/>
  <pageMargins left="0.78740157499999996" right="0.78740157499999996" top="0.984251969" bottom="0.984251969" header="0.4921259845" footer="0.4921259845"/>
  <pageSetup paperSize="9" scale="2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48</vt:i4>
      </vt:variant>
    </vt:vector>
  </HeadingPairs>
  <TitlesOfParts>
    <vt:vector size="52" baseType="lpstr">
      <vt:lpstr>VO01</vt:lpstr>
      <vt:lpstr>VO02</vt:lpstr>
      <vt:lpstr>Materialien</vt:lpstr>
      <vt:lpstr>Bemerkungen</vt:lpstr>
      <vt:lpstr>'VO01'!A1000_</vt:lpstr>
      <vt:lpstr>'VO02'!A1000_</vt:lpstr>
      <vt:lpstr>'VO01'!A125_</vt:lpstr>
      <vt:lpstr>'VO02'!A125_</vt:lpstr>
      <vt:lpstr>'VO01'!A2000_</vt:lpstr>
      <vt:lpstr>'VO02'!A2000_</vt:lpstr>
      <vt:lpstr>'VO01'!A250_</vt:lpstr>
      <vt:lpstr>'VO02'!A250_</vt:lpstr>
      <vt:lpstr>'VO01'!A4000_</vt:lpstr>
      <vt:lpstr>'VO02'!A4000_</vt:lpstr>
      <vt:lpstr>'VO01'!A500_</vt:lpstr>
      <vt:lpstr>'VO02'!A500_</vt:lpstr>
      <vt:lpstr>'VO01'!b</vt:lpstr>
      <vt:lpstr>'VO02'!b</vt:lpstr>
      <vt:lpstr>'VO01'!B1000_</vt:lpstr>
      <vt:lpstr>'VO02'!B1000_</vt:lpstr>
      <vt:lpstr>'VO01'!B125_</vt:lpstr>
      <vt:lpstr>'VO02'!B125_</vt:lpstr>
      <vt:lpstr>'VO01'!B2000_</vt:lpstr>
      <vt:lpstr>'VO02'!B2000_</vt:lpstr>
      <vt:lpstr>'VO01'!B250_</vt:lpstr>
      <vt:lpstr>'VO02'!B250_</vt:lpstr>
      <vt:lpstr>'VO01'!B4000_</vt:lpstr>
      <vt:lpstr>'VO02'!B4000_</vt:lpstr>
      <vt:lpstr>'VO01'!B500_</vt:lpstr>
      <vt:lpstr>'VO02'!B500_</vt:lpstr>
      <vt:lpstr>'VO01'!Druckbereich</vt:lpstr>
      <vt:lpstr>'VO02'!Druckbereich</vt:lpstr>
      <vt:lpstr>'VO01'!Drucktitel</vt:lpstr>
      <vt:lpstr>'VO02'!Drucktitel</vt:lpstr>
      <vt:lpstr>'VO01'!h</vt:lpstr>
      <vt:lpstr>'VO02'!h</vt:lpstr>
      <vt:lpstr>'VO01'!l</vt:lpstr>
      <vt:lpstr>'VO02'!l</vt:lpstr>
      <vt:lpstr>'VO01'!Nutzungsart</vt:lpstr>
      <vt:lpstr>'VO02'!Nutzungsart</vt:lpstr>
      <vt:lpstr>'VO01'!Nutzungsarten</vt:lpstr>
      <vt:lpstr>'VO02'!Nutzungsarten</vt:lpstr>
      <vt:lpstr>'VO01'!Sollwert</vt:lpstr>
      <vt:lpstr>'VO02'!Sollwert</vt:lpstr>
      <vt:lpstr>'VO02'!SollwertAV</vt:lpstr>
      <vt:lpstr>SollwertAV</vt:lpstr>
      <vt:lpstr>'VO01'!Stotal</vt:lpstr>
      <vt:lpstr>'VO02'!Stotal</vt:lpstr>
      <vt:lpstr>'VO01'!ToleranzA1000Hz</vt:lpstr>
      <vt:lpstr>'VO02'!ToleranzA1000Hz</vt:lpstr>
      <vt:lpstr>'VO01'!V</vt:lpstr>
      <vt:lpstr>'VO02'!V</vt:lpstr>
    </vt:vector>
  </TitlesOfParts>
  <Company>SUVA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 Waldmann</dc:creator>
  <cp:lastModifiedBy>Peter Jordan</cp:lastModifiedBy>
  <cp:lastPrinted>2017-07-29T16:12:29Z</cp:lastPrinted>
  <dcterms:created xsi:type="dcterms:W3CDTF">2007-02-07T14:22:25Z</dcterms:created>
  <dcterms:modified xsi:type="dcterms:W3CDTF">2017-07-29T16:52:38Z</dcterms:modified>
</cp:coreProperties>
</file>